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03 Health status 10 Oral health\"/>
    </mc:Choice>
  </mc:AlternateContent>
  <xr:revisionPtr revIDLastSave="0" documentId="13_ncr:1_{56748220-C5BC-4ADA-9DFE-1AC1E9704585}" xr6:coauthVersionLast="41" xr6:coauthVersionMax="41" xr10:uidLastSave="{00000000-0000-0000-0000-000000000000}"/>
  <bookViews>
    <workbookView xWindow="-108" yWindow="-108" windowWidth="20376" windowHeight="12240" xr2:uid="{00000000-000D-0000-FFFF-FFFF00000000}"/>
  </bookViews>
  <sheets>
    <sheet name="Notes" sheetId="7" r:id="rId1"/>
    <sheet name="Māori vs Non-Māori" sheetId="3" r:id="rId2"/>
    <sheet name="Flouridated and non Flouridated" sheetId="6" r:id="rId3"/>
    <sheet name="ref" sheetId="4" state="hidden" r:id="rId4"/>
    <sheet name="Year 8s" sheetId="1" state="hidden" r:id="rId5"/>
    <sheet name="5yrs Old" sheetId="2" state="hidden" r:id="rId6"/>
    <sheet name="Populations" sheetId="5"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33" i="6" l="1"/>
  <c r="N51" i="6"/>
  <c r="N52" i="6"/>
  <c r="N53" i="6"/>
  <c r="N54" i="6"/>
  <c r="M41" i="6"/>
  <c r="M42" i="6"/>
  <c r="M43" i="6"/>
  <c r="M44" i="6"/>
  <c r="M45" i="6"/>
  <c r="M46" i="6"/>
  <c r="M47" i="6"/>
  <c r="M48" i="6"/>
  <c r="M49" i="6"/>
  <c r="M50" i="6"/>
  <c r="M51" i="6"/>
  <c r="M52" i="6"/>
  <c r="M53" i="6"/>
  <c r="M54" i="6"/>
  <c r="M40" i="6"/>
  <c r="E51" i="6"/>
  <c r="E52" i="6"/>
  <c r="E53" i="6"/>
  <c r="E54" i="6"/>
  <c r="D41" i="6"/>
  <c r="D42" i="6"/>
  <c r="D43" i="6"/>
  <c r="D44" i="6"/>
  <c r="D45" i="6"/>
  <c r="D46" i="6"/>
  <c r="D47" i="6"/>
  <c r="D48" i="6"/>
  <c r="D49" i="6"/>
  <c r="D50" i="6"/>
  <c r="D51" i="6"/>
  <c r="D52" i="6"/>
  <c r="D53" i="6"/>
  <c r="D54" i="6"/>
  <c r="D40" i="6"/>
  <c r="L35" i="6"/>
  <c r="C35" i="6"/>
  <c r="B35" i="3"/>
  <c r="BO68" i="3"/>
  <c r="BO69" i="3"/>
  <c r="BO70" i="3"/>
  <c r="BO71" i="3"/>
  <c r="BO72" i="3"/>
  <c r="BO73" i="3"/>
  <c r="BO74" i="3"/>
  <c r="BO75" i="3"/>
  <c r="BO76" i="3"/>
  <c r="BO77" i="3"/>
  <c r="BO78" i="3"/>
  <c r="BO79" i="3"/>
  <c r="BO80" i="3"/>
  <c r="BO81" i="3"/>
  <c r="BO67" i="3"/>
  <c r="BN68" i="3"/>
  <c r="BN69" i="3"/>
  <c r="BN70" i="3"/>
  <c r="BN71" i="3"/>
  <c r="BN72" i="3"/>
  <c r="BN73" i="3"/>
  <c r="BN74" i="3"/>
  <c r="BN75" i="3"/>
  <c r="BN76" i="3"/>
  <c r="BN77" i="3"/>
  <c r="BN78" i="3"/>
  <c r="BN79" i="3"/>
  <c r="BN80" i="3"/>
  <c r="BN81" i="3"/>
  <c r="BN67" i="3"/>
  <c r="G40" i="3"/>
  <c r="G41" i="3"/>
  <c r="G42" i="3"/>
  <c r="G43" i="3"/>
  <c r="G44" i="3"/>
  <c r="G45" i="3"/>
  <c r="G46" i="3"/>
  <c r="G47" i="3"/>
  <c r="G48" i="3"/>
  <c r="G49" i="3"/>
  <c r="G50" i="3"/>
  <c r="G51" i="3"/>
  <c r="G52" i="3"/>
  <c r="G53" i="3"/>
  <c r="G54" i="3"/>
  <c r="F41" i="3"/>
  <c r="F42" i="3"/>
  <c r="F43" i="3"/>
  <c r="F44" i="3"/>
  <c r="F45" i="3"/>
  <c r="F46" i="3"/>
  <c r="F47" i="3"/>
  <c r="F48" i="3"/>
  <c r="F49" i="3"/>
  <c r="F50" i="3"/>
  <c r="F51" i="3"/>
  <c r="F52" i="3"/>
  <c r="F53" i="3"/>
  <c r="F54" i="3"/>
  <c r="F40" i="3"/>
  <c r="E41" i="3"/>
  <c r="E42" i="3"/>
  <c r="E43" i="3"/>
  <c r="E44" i="3"/>
  <c r="E45" i="3"/>
  <c r="E46" i="3"/>
  <c r="E47" i="3"/>
  <c r="E48" i="3"/>
  <c r="E49" i="3"/>
  <c r="E50" i="3"/>
  <c r="E51" i="3"/>
  <c r="E52" i="3"/>
  <c r="E53" i="3"/>
  <c r="E54" i="3"/>
  <c r="E40" i="3"/>
  <c r="D40" i="3"/>
  <c r="D41" i="3"/>
  <c r="D42" i="3"/>
  <c r="D43" i="3"/>
  <c r="D44" i="3"/>
  <c r="D45" i="3"/>
  <c r="D46" i="3"/>
  <c r="D47" i="3"/>
  <c r="D48" i="3"/>
  <c r="D49" i="3"/>
  <c r="D50" i="3"/>
  <c r="D51" i="3"/>
  <c r="D52" i="3"/>
  <c r="D53" i="3"/>
  <c r="D54" i="3"/>
  <c r="C41" i="3"/>
  <c r="C42" i="3"/>
  <c r="C43" i="3"/>
  <c r="C44" i="3"/>
  <c r="C45" i="3"/>
  <c r="C46" i="3"/>
  <c r="C47" i="3"/>
  <c r="C48" i="3"/>
  <c r="C49" i="3"/>
  <c r="C50" i="3"/>
  <c r="C51" i="3"/>
  <c r="C52" i="3"/>
  <c r="C53" i="3"/>
  <c r="C54" i="3"/>
  <c r="C40" i="3"/>
  <c r="B41" i="3"/>
  <c r="B42" i="3"/>
  <c r="B43" i="3"/>
  <c r="B44" i="3"/>
  <c r="B45" i="3"/>
  <c r="B46" i="3"/>
  <c r="B47" i="3"/>
  <c r="B48" i="3"/>
  <c r="B49" i="3"/>
  <c r="B50" i="3"/>
  <c r="B51" i="3"/>
  <c r="B52" i="3"/>
  <c r="B53" i="3"/>
  <c r="B54" i="3"/>
  <c r="B40" i="3"/>
  <c r="P35" i="3" l="1"/>
  <c r="Q52" i="3" l="1"/>
  <c r="AP63" i="6"/>
  <c r="AP64" i="6"/>
  <c r="AP65" i="6"/>
  <c r="AO66" i="6"/>
  <c r="AP66" i="6"/>
  <c r="AP47" i="6"/>
  <c r="AP48" i="6"/>
  <c r="AP49" i="6"/>
  <c r="AO50" i="6"/>
  <c r="AP50" i="6"/>
  <c r="F52" i="6" l="1"/>
  <c r="O52" i="6"/>
  <c r="F53" i="6"/>
  <c r="F51" i="6"/>
  <c r="O53" i="6"/>
  <c r="O51" i="6"/>
  <c r="AO65" i="6"/>
  <c r="AO49" i="6"/>
  <c r="AO64" i="6"/>
  <c r="AO48" i="6"/>
  <c r="F54" i="6"/>
  <c r="O54" i="6"/>
  <c r="AO63" i="6"/>
  <c r="AO47" i="6"/>
  <c r="Q53" i="3"/>
  <c r="Q51" i="3"/>
  <c r="Q54" i="3"/>
  <c r="C40" i="2"/>
  <c r="D41" i="2"/>
  <c r="K40" i="2"/>
  <c r="L41" i="2"/>
  <c r="O39" i="1"/>
  <c r="L37" i="1"/>
  <c r="M37" i="1"/>
  <c r="K40" i="1"/>
  <c r="L40" i="1"/>
  <c r="G39" i="1"/>
  <c r="D37" i="1"/>
  <c r="E37" i="1"/>
  <c r="C40" i="1"/>
  <c r="D40" i="1"/>
  <c r="I18" i="1"/>
  <c r="G18" i="1"/>
  <c r="K18" i="1" s="1"/>
  <c r="E18" i="1"/>
  <c r="M18" i="1" s="1"/>
  <c r="C18" i="1"/>
  <c r="L18" i="5"/>
  <c r="K18" i="5"/>
  <c r="F18" i="5"/>
  <c r="G18" i="5" s="1"/>
  <c r="E18" i="5"/>
  <c r="I18" i="2"/>
  <c r="G18" i="2"/>
  <c r="K18" i="2" s="1"/>
  <c r="E18" i="2"/>
  <c r="M18" i="2" s="1"/>
  <c r="C18" i="2"/>
  <c r="I17" i="1"/>
  <c r="G17" i="1"/>
  <c r="K17" i="1" s="1"/>
  <c r="E17" i="1"/>
  <c r="C17" i="1"/>
  <c r="L17" i="5"/>
  <c r="K17" i="5"/>
  <c r="M17" i="5" s="1"/>
  <c r="P39" i="1" s="1"/>
  <c r="F17" i="5"/>
  <c r="G17" i="5" s="1"/>
  <c r="E17" i="5"/>
  <c r="I17" i="2"/>
  <c r="G17" i="2"/>
  <c r="E17" i="2"/>
  <c r="C17" i="2"/>
  <c r="I16" i="1"/>
  <c r="G16" i="1"/>
  <c r="K16" i="1" s="1"/>
  <c r="E16" i="1"/>
  <c r="C16" i="1"/>
  <c r="L16" i="5"/>
  <c r="K16" i="5"/>
  <c r="F16" i="5"/>
  <c r="E16" i="5"/>
  <c r="I16" i="2"/>
  <c r="G16" i="2"/>
  <c r="E16" i="2"/>
  <c r="M16" i="2" s="1"/>
  <c r="C16" i="2"/>
  <c r="I15" i="1"/>
  <c r="G15" i="1"/>
  <c r="K15" i="1" s="1"/>
  <c r="E15" i="1"/>
  <c r="M15" i="1" s="1"/>
  <c r="C15" i="1"/>
  <c r="L15" i="5"/>
  <c r="K15" i="5"/>
  <c r="M15" i="5" s="1"/>
  <c r="F15" i="5"/>
  <c r="G15" i="5" s="1"/>
  <c r="E15" i="5"/>
  <c r="I15" i="2"/>
  <c r="G15" i="2"/>
  <c r="K15" i="2" s="1"/>
  <c r="E15" i="2"/>
  <c r="C15" i="2"/>
  <c r="L18" i="1"/>
  <c r="J18" i="1"/>
  <c r="L17" i="1"/>
  <c r="J17" i="1"/>
  <c r="M16" i="1"/>
  <c r="L16" i="1"/>
  <c r="J16" i="1"/>
  <c r="L15" i="1"/>
  <c r="J15" i="1"/>
  <c r="L18" i="2"/>
  <c r="J18" i="2"/>
  <c r="L17" i="2"/>
  <c r="J17" i="2"/>
  <c r="L16" i="2"/>
  <c r="J16" i="2"/>
  <c r="M15" i="2"/>
  <c r="L15" i="2"/>
  <c r="J15" i="2"/>
  <c r="M18" i="5"/>
  <c r="Q40" i="1" s="1"/>
  <c r="J18" i="5"/>
  <c r="M40" i="1" s="1"/>
  <c r="D18" i="5"/>
  <c r="E41" i="2" s="1"/>
  <c r="J17" i="5"/>
  <c r="L39" i="1" s="1"/>
  <c r="D17" i="5"/>
  <c r="D40" i="2" s="1"/>
  <c r="J16" i="5"/>
  <c r="K38" i="1" s="1"/>
  <c r="D16" i="5"/>
  <c r="C39" i="2" s="1"/>
  <c r="J15" i="5"/>
  <c r="K37" i="1" s="1"/>
  <c r="D15" i="5"/>
  <c r="C38" i="2" s="1"/>
  <c r="P37" i="1" l="1"/>
  <c r="H37" i="1"/>
  <c r="I37" i="1"/>
  <c r="O37" i="1"/>
  <c r="G37" i="1"/>
  <c r="Q37" i="1"/>
  <c r="G38" i="2"/>
  <c r="O38" i="2"/>
  <c r="H38" i="2"/>
  <c r="P38" i="2"/>
  <c r="I38" i="2"/>
  <c r="Q38" i="2"/>
  <c r="H40" i="2"/>
  <c r="P40" i="2"/>
  <c r="G40" i="2"/>
  <c r="I40" i="2"/>
  <c r="Q40" i="2"/>
  <c r="O40" i="2"/>
  <c r="I41" i="2"/>
  <c r="Q41" i="2"/>
  <c r="G41" i="2"/>
  <c r="P41" i="2"/>
  <c r="O41" i="2"/>
  <c r="H41" i="2"/>
  <c r="H40" i="1"/>
  <c r="M38" i="2"/>
  <c r="E38" i="2"/>
  <c r="C39" i="1"/>
  <c r="P40" i="1"/>
  <c r="M39" i="2"/>
  <c r="L38" i="2"/>
  <c r="C41" i="2"/>
  <c r="D38" i="2"/>
  <c r="M17" i="2"/>
  <c r="E39" i="1"/>
  <c r="D38" i="1"/>
  <c r="C37" i="1"/>
  <c r="I39" i="1"/>
  <c r="M39" i="1"/>
  <c r="L38" i="1"/>
  <c r="Q39" i="1"/>
  <c r="M40" i="2"/>
  <c r="L39" i="2"/>
  <c r="K38" i="2"/>
  <c r="E40" i="2"/>
  <c r="D39" i="2"/>
  <c r="K39" i="1"/>
  <c r="E38" i="1"/>
  <c r="G40" i="1"/>
  <c r="M38" i="1"/>
  <c r="O40" i="1"/>
  <c r="K41" i="2"/>
  <c r="E39" i="2"/>
  <c r="G16" i="5"/>
  <c r="E40" i="1"/>
  <c r="D39" i="1"/>
  <c r="C38" i="1"/>
  <c r="I40" i="1"/>
  <c r="H39" i="1"/>
  <c r="M41" i="2"/>
  <c r="L40" i="2"/>
  <c r="K39" i="2"/>
  <c r="M17" i="1"/>
  <c r="K17" i="2"/>
  <c r="M16" i="5"/>
  <c r="K16" i="2"/>
  <c r="BD23" i="6"/>
  <c r="E47" i="6" s="1"/>
  <c r="G39" i="2" l="1"/>
  <c r="O39" i="2"/>
  <c r="Q39" i="2"/>
  <c r="H39" i="2"/>
  <c r="P39" i="2"/>
  <c r="I39" i="2"/>
  <c r="O38" i="1"/>
  <c r="G38" i="1"/>
  <c r="I38" i="1"/>
  <c r="P38" i="1"/>
  <c r="H38" i="1"/>
  <c r="Q38" i="1"/>
  <c r="E11" i="2"/>
  <c r="BK26" i="6"/>
  <c r="BI26" i="6"/>
  <c r="BH26" i="6"/>
  <c r="N50" i="6" s="1"/>
  <c r="BF26" i="6"/>
  <c r="BD26" i="6"/>
  <c r="E50" i="6" s="1"/>
  <c r="BB26" i="6"/>
  <c r="BK25" i="6"/>
  <c r="BI25" i="6"/>
  <c r="BH25" i="6"/>
  <c r="BF25" i="6"/>
  <c r="BD25" i="6"/>
  <c r="E49" i="6" s="1"/>
  <c r="BB25" i="6"/>
  <c r="BK24" i="6"/>
  <c r="BI24" i="6"/>
  <c r="BH24" i="6"/>
  <c r="N48" i="6" s="1"/>
  <c r="BF24" i="6"/>
  <c r="BD24" i="6"/>
  <c r="E48" i="6" s="1"/>
  <c r="BB24" i="6"/>
  <c r="BK23" i="6"/>
  <c r="BI23" i="6"/>
  <c r="BH23" i="6"/>
  <c r="BF23" i="6"/>
  <c r="BB23" i="6"/>
  <c r="BK22" i="6"/>
  <c r="BI22" i="6"/>
  <c r="BH22" i="6"/>
  <c r="N46" i="6" s="1"/>
  <c r="BF22" i="6"/>
  <c r="BD22" i="6"/>
  <c r="E46" i="6" s="1"/>
  <c r="BB22" i="6"/>
  <c r="BK21" i="6"/>
  <c r="BI21" i="6"/>
  <c r="BH21" i="6"/>
  <c r="N45" i="6" s="1"/>
  <c r="BF21" i="6"/>
  <c r="BD21" i="6"/>
  <c r="E45" i="6" s="1"/>
  <c r="BB21" i="6"/>
  <c r="BK20" i="6"/>
  <c r="BI20" i="6"/>
  <c r="BH20" i="6"/>
  <c r="N44" i="6" s="1"/>
  <c r="BF20" i="6"/>
  <c r="BD20" i="6"/>
  <c r="E44" i="6" s="1"/>
  <c r="BB20" i="6"/>
  <c r="BK19" i="6"/>
  <c r="BI19" i="6"/>
  <c r="BH19" i="6"/>
  <c r="BF19" i="6"/>
  <c r="BD19" i="6"/>
  <c r="E43" i="6" s="1"/>
  <c r="BB19" i="6"/>
  <c r="BK18" i="6"/>
  <c r="BI18" i="6"/>
  <c r="BH18" i="6"/>
  <c r="N42" i="6" s="1"/>
  <c r="BF18" i="6"/>
  <c r="BD18" i="6"/>
  <c r="E42" i="6" s="1"/>
  <c r="BB18" i="6"/>
  <c r="BK17" i="6"/>
  <c r="BI17" i="6"/>
  <c r="BH17" i="6"/>
  <c r="N41" i="6" s="1"/>
  <c r="BF17" i="6"/>
  <c r="BD17" i="6"/>
  <c r="E41" i="6" s="1"/>
  <c r="BB17" i="6"/>
  <c r="BK16" i="6"/>
  <c r="BI16" i="6"/>
  <c r="BH16" i="6"/>
  <c r="N40" i="6" s="1"/>
  <c r="BF16" i="6"/>
  <c r="BD16" i="6"/>
  <c r="E40" i="6" s="1"/>
  <c r="BB16" i="6"/>
  <c r="AY26" i="6"/>
  <c r="AW26" i="6"/>
  <c r="AV26" i="6"/>
  <c r="AT26" i="6"/>
  <c r="AR26" i="6"/>
  <c r="AP26" i="6"/>
  <c r="AY25" i="6"/>
  <c r="AW25" i="6"/>
  <c r="AV25" i="6"/>
  <c r="AT25" i="6"/>
  <c r="AR25" i="6"/>
  <c r="AP25" i="6"/>
  <c r="AY24" i="6"/>
  <c r="AW24" i="6"/>
  <c r="AV24" i="6"/>
  <c r="AT24" i="6"/>
  <c r="AR24" i="6"/>
  <c r="AP24" i="6"/>
  <c r="AY23" i="6"/>
  <c r="AW23" i="6"/>
  <c r="AV23" i="6"/>
  <c r="AT23" i="6"/>
  <c r="AR23" i="6"/>
  <c r="AP23" i="6"/>
  <c r="AY22" i="6"/>
  <c r="AW22" i="6"/>
  <c r="AV22" i="6"/>
  <c r="AT22" i="6"/>
  <c r="AR22" i="6"/>
  <c r="AP22" i="6"/>
  <c r="AY21" i="6"/>
  <c r="AW21" i="6"/>
  <c r="AV21" i="6"/>
  <c r="AT21" i="6"/>
  <c r="AR21" i="6"/>
  <c r="AP21" i="6"/>
  <c r="AY20" i="6"/>
  <c r="AW20" i="6"/>
  <c r="AV20" i="6"/>
  <c r="AT20" i="6"/>
  <c r="AR20" i="6"/>
  <c r="AP20" i="6"/>
  <c r="AY19" i="6"/>
  <c r="AW19" i="6"/>
  <c r="AV19" i="6"/>
  <c r="AT19" i="6"/>
  <c r="AR19" i="6"/>
  <c r="AP19" i="6"/>
  <c r="AY18" i="6"/>
  <c r="AW18" i="6"/>
  <c r="AV18" i="6"/>
  <c r="AT18" i="6"/>
  <c r="AR18" i="6"/>
  <c r="AP18" i="6"/>
  <c r="AY17" i="6"/>
  <c r="AW17" i="6"/>
  <c r="AV17" i="6"/>
  <c r="AT17" i="6"/>
  <c r="AR17" i="6"/>
  <c r="AP17" i="6"/>
  <c r="AY16" i="6"/>
  <c r="AW16" i="6"/>
  <c r="AV16" i="6"/>
  <c r="AT16" i="6"/>
  <c r="AR16" i="6"/>
  <c r="AP16" i="6"/>
  <c r="L14" i="5"/>
  <c r="K14" i="5"/>
  <c r="I14" i="1"/>
  <c r="G14" i="1"/>
  <c r="E14" i="1"/>
  <c r="C14" i="1"/>
  <c r="I14" i="2"/>
  <c r="G14" i="2"/>
  <c r="E14" i="2"/>
  <c r="C14" i="2"/>
  <c r="F14" i="5"/>
  <c r="E14" i="5"/>
  <c r="F13" i="5"/>
  <c r="E13" i="5"/>
  <c r="I13" i="2"/>
  <c r="G13" i="2"/>
  <c r="E13" i="2"/>
  <c r="C13" i="2"/>
  <c r="I13" i="1"/>
  <c r="G13" i="1"/>
  <c r="E13" i="1"/>
  <c r="C13" i="1"/>
  <c r="L13" i="5"/>
  <c r="K13" i="5"/>
  <c r="AX17" i="6" l="1"/>
  <c r="AX19" i="6"/>
  <c r="AX21" i="6"/>
  <c r="AX23" i="6"/>
  <c r="AX25" i="6"/>
  <c r="BJ16" i="6"/>
  <c r="BJ18" i="6"/>
  <c r="BJ20" i="6"/>
  <c r="BJ22" i="6"/>
  <c r="BL23" i="6"/>
  <c r="N47" i="6"/>
  <c r="BL25" i="6"/>
  <c r="N49" i="6"/>
  <c r="BL19" i="6"/>
  <c r="N43" i="6"/>
  <c r="BJ25" i="6"/>
  <c r="AZ16" i="6"/>
  <c r="AZ18" i="6"/>
  <c r="AZ20" i="6"/>
  <c r="AZ22" i="6"/>
  <c r="AZ24" i="6"/>
  <c r="AZ26" i="6"/>
  <c r="BJ23" i="6"/>
  <c r="AZ17" i="6"/>
  <c r="AZ19" i="6"/>
  <c r="AZ21" i="6"/>
  <c r="AZ23" i="6"/>
  <c r="AZ25" i="6"/>
  <c r="BL17" i="6"/>
  <c r="BL21" i="6"/>
  <c r="AX16" i="6"/>
  <c r="AX18" i="6"/>
  <c r="AX20" i="6"/>
  <c r="AX22" i="6"/>
  <c r="AX24" i="6"/>
  <c r="AX26" i="6"/>
  <c r="BJ17" i="6"/>
  <c r="BJ19" i="6"/>
  <c r="BJ21" i="6"/>
  <c r="BL24" i="6"/>
  <c r="BL26" i="6"/>
  <c r="BL16" i="6"/>
  <c r="BL18" i="6"/>
  <c r="BL20" i="6"/>
  <c r="BL22" i="6"/>
  <c r="BJ24" i="6"/>
  <c r="BJ26" i="6"/>
  <c r="AO53" i="6"/>
  <c r="F12" i="5"/>
  <c r="E12" i="5"/>
  <c r="I12" i="2"/>
  <c r="G12" i="2"/>
  <c r="E12" i="2"/>
  <c r="C12" i="2"/>
  <c r="I12" i="1"/>
  <c r="G12" i="1"/>
  <c r="E12" i="1"/>
  <c r="C12" i="1"/>
  <c r="L12" i="5"/>
  <c r="K12" i="5"/>
  <c r="F11" i="5"/>
  <c r="E11" i="5"/>
  <c r="I11" i="2"/>
  <c r="M11" i="2" s="1"/>
  <c r="G11" i="2"/>
  <c r="C11" i="2"/>
  <c r="I11" i="1"/>
  <c r="G11" i="1"/>
  <c r="E11" i="1"/>
  <c r="C11" i="1"/>
  <c r="L11" i="5"/>
  <c r="K11" i="5"/>
  <c r="F10" i="5"/>
  <c r="E10" i="5"/>
  <c r="I10" i="2"/>
  <c r="G10" i="2"/>
  <c r="E10" i="2"/>
  <c r="C10" i="2"/>
  <c r="I10" i="1"/>
  <c r="G10" i="1"/>
  <c r="E10" i="1"/>
  <c r="C10" i="1"/>
  <c r="L10" i="5"/>
  <c r="K10" i="5"/>
  <c r="L9" i="5"/>
  <c r="K9" i="5"/>
  <c r="I9" i="1"/>
  <c r="G9" i="1"/>
  <c r="E9" i="1"/>
  <c r="C9" i="1"/>
  <c r="I9" i="2"/>
  <c r="G9" i="2"/>
  <c r="E9" i="2"/>
  <c r="C9" i="2"/>
  <c r="F9" i="5"/>
  <c r="E9" i="5"/>
  <c r="F8" i="5"/>
  <c r="E8" i="5"/>
  <c r="I8" i="2"/>
  <c r="G8" i="2"/>
  <c r="E8" i="2"/>
  <c r="C8" i="2"/>
  <c r="I8" i="1"/>
  <c r="G8" i="1"/>
  <c r="E8" i="1"/>
  <c r="C8" i="1"/>
  <c r="L8" i="5"/>
  <c r="K8" i="5"/>
  <c r="F7" i="5"/>
  <c r="E7" i="5"/>
  <c r="I7" i="2"/>
  <c r="G7" i="2"/>
  <c r="C7" i="2"/>
  <c r="E7" i="2"/>
  <c r="I7" i="1"/>
  <c r="G7" i="1"/>
  <c r="E7" i="1"/>
  <c r="C7" i="1"/>
  <c r="L7" i="5"/>
  <c r="K7" i="5"/>
  <c r="E6" i="5"/>
  <c r="F6" i="5"/>
  <c r="I6" i="2"/>
  <c r="G6" i="2"/>
  <c r="E6" i="2"/>
  <c r="C6" i="2"/>
  <c r="I6" i="1"/>
  <c r="G6" i="1"/>
  <c r="E6" i="1"/>
  <c r="C6" i="1"/>
  <c r="L6" i="5"/>
  <c r="K6" i="5"/>
  <c r="F5" i="5"/>
  <c r="E5" i="5"/>
  <c r="I5" i="2"/>
  <c r="G5" i="2"/>
  <c r="E5" i="2"/>
  <c r="C5" i="2"/>
  <c r="C5" i="1"/>
  <c r="K5" i="1" s="1"/>
  <c r="E5" i="1"/>
  <c r="G5" i="1"/>
  <c r="I5" i="1"/>
  <c r="L5" i="5"/>
  <c r="K5" i="5"/>
  <c r="F4" i="5"/>
  <c r="E4" i="5"/>
  <c r="I4" i="2"/>
  <c r="E4" i="2"/>
  <c r="C4" i="2"/>
  <c r="G4" i="2"/>
  <c r="G4" i="1"/>
  <c r="C4" i="1"/>
  <c r="K4" i="1" s="1"/>
  <c r="E4" i="1"/>
  <c r="I4" i="1"/>
  <c r="L4" i="5"/>
  <c r="M4" i="5" s="1"/>
  <c r="K4" i="5"/>
  <c r="B8" i="5"/>
  <c r="C8" i="5"/>
  <c r="B9" i="5"/>
  <c r="D9" i="5" s="1"/>
  <c r="D5" i="5"/>
  <c r="D6" i="5"/>
  <c r="D7" i="5"/>
  <c r="D8" i="5"/>
  <c r="D10" i="5"/>
  <c r="D11" i="5"/>
  <c r="D12" i="5"/>
  <c r="D13" i="5"/>
  <c r="D14" i="5"/>
  <c r="AP62" i="6" l="1"/>
  <c r="AP46" i="6"/>
  <c r="AP61" i="6"/>
  <c r="AP45" i="6"/>
  <c r="AP60" i="6"/>
  <c r="AP44" i="6"/>
  <c r="AP59" i="6"/>
  <c r="AP43" i="6"/>
  <c r="AP58" i="6"/>
  <c r="AP42" i="6"/>
  <c r="AP57" i="6"/>
  <c r="AP41" i="6"/>
  <c r="AP56" i="6"/>
  <c r="AP40" i="6"/>
  <c r="AP55" i="6"/>
  <c r="AP39" i="6"/>
  <c r="AP54" i="6"/>
  <c r="AP38" i="6"/>
  <c r="AP37" i="6"/>
  <c r="O5" i="6"/>
  <c r="AO54" i="6" l="1"/>
  <c r="O42" i="6"/>
  <c r="AO57" i="6"/>
  <c r="O45" i="6"/>
  <c r="AO60" i="6"/>
  <c r="O48" i="6"/>
  <c r="AO62" i="6"/>
  <c r="O50" i="6"/>
  <c r="AO52" i="6"/>
  <c r="O40" i="6"/>
  <c r="AP53" i="6"/>
  <c r="O41" i="6"/>
  <c r="AO56" i="6"/>
  <c r="O44" i="6"/>
  <c r="AO59" i="6"/>
  <c r="O47" i="6"/>
  <c r="AO38" i="6"/>
  <c r="F42" i="6"/>
  <c r="AO39" i="6"/>
  <c r="F43" i="6"/>
  <c r="AO40" i="6"/>
  <c r="F44" i="6"/>
  <c r="AO41" i="6"/>
  <c r="F45" i="6"/>
  <c r="AO42" i="6"/>
  <c r="F46" i="6"/>
  <c r="AO43" i="6"/>
  <c r="F47" i="6"/>
  <c r="AO44" i="6"/>
  <c r="F48" i="6"/>
  <c r="AO45" i="6"/>
  <c r="F49" i="6"/>
  <c r="AO46" i="6"/>
  <c r="F50" i="6"/>
  <c r="AP36" i="6"/>
  <c r="AO55" i="6"/>
  <c r="O43" i="6"/>
  <c r="AO58" i="6"/>
  <c r="O46" i="6"/>
  <c r="AO61" i="6"/>
  <c r="O49" i="6"/>
  <c r="AP52" i="6"/>
  <c r="AO36" i="6"/>
  <c r="F40" i="6"/>
  <c r="AO37" i="6"/>
  <c r="F41" i="6"/>
  <c r="E39" i="3"/>
  <c r="B39" i="3"/>
  <c r="O5" i="3" l="1"/>
  <c r="K28" i="2" l="1"/>
  <c r="K29" i="2"/>
  <c r="K30" i="2"/>
  <c r="K31" i="2"/>
  <c r="K32" i="2"/>
  <c r="K33" i="2"/>
  <c r="K34" i="2"/>
  <c r="K35" i="2"/>
  <c r="K36" i="2"/>
  <c r="K37" i="2"/>
  <c r="C28" i="2"/>
  <c r="C29" i="2"/>
  <c r="C30" i="2"/>
  <c r="C31" i="2"/>
  <c r="C32" i="2"/>
  <c r="C33" i="2"/>
  <c r="C34" i="2"/>
  <c r="C35" i="2"/>
  <c r="C36" i="2"/>
  <c r="C37" i="2"/>
  <c r="Q44" i="3" l="1"/>
  <c r="Q48" i="3"/>
  <c r="Q49" i="3"/>
  <c r="Q41" i="3" l="1"/>
  <c r="Q45" i="3"/>
  <c r="Q50" i="3"/>
  <c r="Q46" i="3"/>
  <c r="Q42" i="3"/>
  <c r="Q47" i="3"/>
  <c r="Q43" i="3"/>
  <c r="Q40" i="3"/>
  <c r="M28" i="2"/>
  <c r="M29" i="2"/>
  <c r="M30" i="2"/>
  <c r="M31" i="2"/>
  <c r="M32" i="2"/>
  <c r="M33" i="2"/>
  <c r="M34" i="2"/>
  <c r="M35" i="2"/>
  <c r="M36" i="2"/>
  <c r="M37" i="2"/>
  <c r="L28" i="2"/>
  <c r="L29" i="2"/>
  <c r="L30" i="2"/>
  <c r="L31" i="2"/>
  <c r="L32" i="2"/>
  <c r="L33" i="2"/>
  <c r="L34" i="2"/>
  <c r="L35" i="2"/>
  <c r="L36" i="2"/>
  <c r="L37" i="2"/>
  <c r="E28" i="2"/>
  <c r="E29" i="2"/>
  <c r="E30" i="2"/>
  <c r="E31" i="2"/>
  <c r="E32" i="2"/>
  <c r="E33" i="2"/>
  <c r="E34" i="2"/>
  <c r="E35" i="2"/>
  <c r="E36" i="2"/>
  <c r="E37" i="2"/>
  <c r="D28" i="2"/>
  <c r="D29" i="2"/>
  <c r="D30" i="2"/>
  <c r="D31" i="2"/>
  <c r="D32" i="2"/>
  <c r="D33" i="2"/>
  <c r="D34" i="2"/>
  <c r="D35" i="2"/>
  <c r="D36" i="2"/>
  <c r="D37" i="2"/>
  <c r="G14" i="5" l="1"/>
  <c r="G13" i="5"/>
  <c r="G12" i="5"/>
  <c r="G11" i="5"/>
  <c r="G10" i="5"/>
  <c r="G9" i="5"/>
  <c r="G8" i="5"/>
  <c r="G7" i="5"/>
  <c r="G6" i="5"/>
  <c r="G5" i="5"/>
  <c r="G4" i="5"/>
  <c r="D4" i="5"/>
  <c r="M14" i="5"/>
  <c r="M13" i="5"/>
  <c r="M12" i="5"/>
  <c r="M11" i="5"/>
  <c r="M10" i="5"/>
  <c r="M9" i="5"/>
  <c r="M8" i="5"/>
  <c r="M7" i="5"/>
  <c r="M6" i="5"/>
  <c r="M5" i="5"/>
  <c r="J5" i="5"/>
  <c r="J6" i="5"/>
  <c r="J7" i="5"/>
  <c r="J8" i="5"/>
  <c r="J9" i="5"/>
  <c r="J10" i="5"/>
  <c r="J11" i="5"/>
  <c r="J12" i="5"/>
  <c r="J13" i="5"/>
  <c r="J14" i="5"/>
  <c r="J4" i="5"/>
  <c r="O28" i="1" l="1"/>
  <c r="G28" i="1"/>
  <c r="P28" i="1"/>
  <c r="Q28" i="1"/>
  <c r="H28" i="1"/>
  <c r="I28" i="1"/>
  <c r="O32" i="1"/>
  <c r="G32" i="1"/>
  <c r="P32" i="1"/>
  <c r="I32" i="1"/>
  <c r="Q32" i="1"/>
  <c r="H32" i="1"/>
  <c r="O36" i="1"/>
  <c r="G36" i="1"/>
  <c r="I36" i="1"/>
  <c r="P36" i="1"/>
  <c r="Q36" i="1"/>
  <c r="H36" i="1"/>
  <c r="O29" i="1"/>
  <c r="G29" i="1"/>
  <c r="I29" i="1"/>
  <c r="Q29" i="1"/>
  <c r="P29" i="1"/>
  <c r="H29" i="1"/>
  <c r="O33" i="1"/>
  <c r="G33" i="1"/>
  <c r="I33" i="1"/>
  <c r="H33" i="1"/>
  <c r="P33" i="1"/>
  <c r="Q33" i="1"/>
  <c r="O34" i="1"/>
  <c r="G34" i="1"/>
  <c r="Q34" i="1"/>
  <c r="H34" i="1"/>
  <c r="P34" i="1"/>
  <c r="I34" i="1"/>
  <c r="O26" i="1"/>
  <c r="G26" i="1"/>
  <c r="P26" i="1"/>
  <c r="H26" i="1"/>
  <c r="I26" i="1"/>
  <c r="Q26" i="1"/>
  <c r="O30" i="1"/>
  <c r="G30" i="1"/>
  <c r="Q30" i="1"/>
  <c r="H30" i="1"/>
  <c r="I30" i="1"/>
  <c r="P30" i="1"/>
  <c r="O27" i="1"/>
  <c r="G27" i="1"/>
  <c r="P27" i="1"/>
  <c r="Q27" i="1"/>
  <c r="H27" i="1"/>
  <c r="I27" i="1"/>
  <c r="G31" i="1"/>
  <c r="O31" i="1"/>
  <c r="P31" i="1"/>
  <c r="Q31" i="1"/>
  <c r="H31" i="1"/>
  <c r="I31" i="1"/>
  <c r="O35" i="1"/>
  <c r="G35" i="1"/>
  <c r="P35" i="1"/>
  <c r="Q35" i="1"/>
  <c r="H35" i="1"/>
  <c r="I35" i="1"/>
  <c r="K31" i="1"/>
  <c r="C31" i="1"/>
  <c r="E31" i="1"/>
  <c r="M31" i="1"/>
  <c r="D31" i="1"/>
  <c r="L31" i="1"/>
  <c r="K34" i="1"/>
  <c r="C34" i="1"/>
  <c r="L34" i="1"/>
  <c r="M34" i="1"/>
  <c r="D34" i="1"/>
  <c r="E34" i="1"/>
  <c r="K29" i="1"/>
  <c r="C29" i="1"/>
  <c r="M29" i="1"/>
  <c r="L29" i="1"/>
  <c r="D29" i="1"/>
  <c r="E29" i="1"/>
  <c r="C35" i="1"/>
  <c r="K35" i="1"/>
  <c r="E35" i="1"/>
  <c r="L35" i="1"/>
  <c r="M35" i="1"/>
  <c r="D35" i="1"/>
  <c r="C27" i="1"/>
  <c r="K27" i="1"/>
  <c r="E27" i="1"/>
  <c r="L27" i="1"/>
  <c r="M27" i="1"/>
  <c r="D27" i="1"/>
  <c r="K30" i="1"/>
  <c r="C30" i="1"/>
  <c r="L30" i="1"/>
  <c r="D30" i="1"/>
  <c r="E30" i="1"/>
  <c r="M30" i="1"/>
  <c r="K26" i="1"/>
  <c r="C26" i="1"/>
  <c r="L26" i="1"/>
  <c r="D26" i="1"/>
  <c r="M26" i="1"/>
  <c r="E26" i="1"/>
  <c r="K33" i="1"/>
  <c r="C33" i="1"/>
  <c r="M33" i="1"/>
  <c r="E33" i="1"/>
  <c r="D33" i="1"/>
  <c r="L33" i="1"/>
  <c r="K36" i="1"/>
  <c r="C36" i="1"/>
  <c r="D36" i="1"/>
  <c r="L36" i="1"/>
  <c r="E36" i="1"/>
  <c r="M36" i="1"/>
  <c r="K32" i="1"/>
  <c r="C32" i="1"/>
  <c r="D32" i="1"/>
  <c r="E32" i="1"/>
  <c r="L32" i="1"/>
  <c r="M32" i="1"/>
  <c r="K28" i="1"/>
  <c r="C28" i="1"/>
  <c r="D28" i="1"/>
  <c r="L28" i="1"/>
  <c r="M28" i="1"/>
  <c r="E28" i="1"/>
  <c r="G30" i="2"/>
  <c r="O30" i="2"/>
  <c r="I30" i="2"/>
  <c r="P30" i="2"/>
  <c r="Q30" i="2"/>
  <c r="H30" i="2"/>
  <c r="G31" i="2"/>
  <c r="O31" i="2"/>
  <c r="Q31" i="2"/>
  <c r="H31" i="2"/>
  <c r="I31" i="2"/>
  <c r="P31" i="2"/>
  <c r="G28" i="2"/>
  <c r="O28" i="2"/>
  <c r="P28" i="2"/>
  <c r="Q28" i="2"/>
  <c r="H28" i="2"/>
  <c r="I28" i="2"/>
  <c r="G36" i="2"/>
  <c r="O36" i="2"/>
  <c r="P36" i="2"/>
  <c r="Q36" i="2"/>
  <c r="H36" i="2"/>
  <c r="I36" i="2"/>
  <c r="O34" i="2"/>
  <c r="G34" i="2"/>
  <c r="I34" i="2"/>
  <c r="P34" i="2"/>
  <c r="Q34" i="2"/>
  <c r="H34" i="2"/>
  <c r="H27" i="2"/>
  <c r="G27" i="2"/>
  <c r="O27" i="2"/>
  <c r="P27" i="2"/>
  <c r="I27" i="2"/>
  <c r="Q27" i="2"/>
  <c r="G35" i="2"/>
  <c r="O35" i="2"/>
  <c r="Q35" i="2"/>
  <c r="H35" i="2"/>
  <c r="I35" i="2"/>
  <c r="P35" i="2"/>
  <c r="O32" i="2"/>
  <c r="G32" i="2"/>
  <c r="P32" i="2"/>
  <c r="Q32" i="2"/>
  <c r="H32" i="2"/>
  <c r="I32" i="2"/>
  <c r="O29" i="2"/>
  <c r="G29" i="2"/>
  <c r="P29" i="2"/>
  <c r="Q29" i="2"/>
  <c r="H29" i="2"/>
  <c r="I29" i="2"/>
  <c r="O33" i="2"/>
  <c r="G33" i="2"/>
  <c r="P33" i="2"/>
  <c r="Q33" i="2"/>
  <c r="H33" i="2"/>
  <c r="I33" i="2"/>
  <c r="O37" i="2"/>
  <c r="G37" i="2"/>
  <c r="P37" i="2"/>
  <c r="Q37" i="2"/>
  <c r="H37" i="2"/>
  <c r="I37" i="2"/>
  <c r="K27" i="2"/>
  <c r="C27" i="2"/>
  <c r="L27" i="2"/>
  <c r="D27" i="2"/>
  <c r="M27" i="2"/>
  <c r="E27" i="2"/>
  <c r="C9" i="4"/>
  <c r="J5" i="1" l="1"/>
  <c r="L5" i="1"/>
  <c r="M5" i="1"/>
  <c r="J6" i="1"/>
  <c r="K6" i="1"/>
  <c r="L6" i="1"/>
  <c r="M6" i="1"/>
  <c r="J7" i="1"/>
  <c r="K7" i="1"/>
  <c r="L7" i="1"/>
  <c r="M7" i="1"/>
  <c r="J8" i="1"/>
  <c r="K8" i="1"/>
  <c r="L8" i="1"/>
  <c r="M8" i="1"/>
  <c r="J9" i="1"/>
  <c r="K9" i="1"/>
  <c r="L9" i="1"/>
  <c r="M9" i="1"/>
  <c r="J10" i="1"/>
  <c r="K10" i="1"/>
  <c r="L10" i="1"/>
  <c r="M10" i="1"/>
  <c r="J11" i="1"/>
  <c r="K11" i="1"/>
  <c r="L11" i="1"/>
  <c r="M11" i="1"/>
  <c r="J12" i="1"/>
  <c r="K12" i="1"/>
  <c r="L12" i="1"/>
  <c r="M12" i="1"/>
  <c r="J13" i="1"/>
  <c r="K13" i="1"/>
  <c r="L13" i="1"/>
  <c r="M13" i="1"/>
  <c r="J14" i="1"/>
  <c r="K14" i="1"/>
  <c r="L14" i="1"/>
  <c r="M14" i="1"/>
  <c r="L4" i="1"/>
  <c r="M4" i="1"/>
  <c r="J4" i="1"/>
  <c r="L4" i="2"/>
  <c r="M4" i="2"/>
  <c r="L5" i="2"/>
  <c r="L6" i="2"/>
  <c r="M6" i="2"/>
  <c r="L7" i="2"/>
  <c r="M7" i="2"/>
  <c r="L8" i="2"/>
  <c r="M8" i="2"/>
  <c r="L9" i="2"/>
  <c r="M9" i="2"/>
  <c r="L10" i="2"/>
  <c r="M10" i="2"/>
  <c r="L11" i="2"/>
  <c r="L12" i="2"/>
  <c r="M12" i="2"/>
  <c r="L13" i="2"/>
  <c r="M13" i="2"/>
  <c r="L14" i="2"/>
  <c r="M14" i="2"/>
  <c r="K4" i="2"/>
  <c r="K5" i="2"/>
  <c r="K6" i="2"/>
  <c r="K7" i="2"/>
  <c r="K8" i="2"/>
  <c r="K9" i="2"/>
  <c r="K10" i="2"/>
  <c r="K11" i="2"/>
  <c r="K12" i="2"/>
  <c r="K13" i="2"/>
  <c r="K14" i="2"/>
  <c r="J5" i="2"/>
  <c r="J6" i="2"/>
  <c r="J7" i="2"/>
  <c r="J8" i="2"/>
  <c r="J9" i="2"/>
  <c r="J10" i="2"/>
  <c r="J11" i="2"/>
  <c r="J12" i="2"/>
  <c r="J13" i="2"/>
  <c r="J14" i="2"/>
  <c r="J4" i="2"/>
  <c r="M5" i="2"/>
</calcChain>
</file>

<file path=xl/sharedStrings.xml><?xml version="1.0" encoding="utf-8"?>
<sst xmlns="http://schemas.openxmlformats.org/spreadsheetml/2006/main" count="284" uniqueCount="51">
  <si>
    <t>Year</t>
  </si>
  <si>
    <t>Māori</t>
  </si>
  <si>
    <t>Non-Māori</t>
  </si>
  <si>
    <t>Mean DMFT</t>
  </si>
  <si>
    <t>Caries Free</t>
  </si>
  <si>
    <t>Total</t>
  </si>
  <si>
    <t>Carries Free</t>
  </si>
  <si>
    <t>Year 8s</t>
  </si>
  <si>
    <t>5Year Olds</t>
  </si>
  <si>
    <t>Oral Health for 5 Year Olds and Year 8s</t>
  </si>
  <si>
    <t>Select an Indicator</t>
  </si>
  <si>
    <t>Caries-free at 5 Years of Age</t>
  </si>
  <si>
    <t>Caries-free at Year 8</t>
  </si>
  <si>
    <t>Overall</t>
  </si>
  <si>
    <t>Maori</t>
  </si>
  <si>
    <t>5 Year olds</t>
  </si>
  <si>
    <t>LCI</t>
  </si>
  <si>
    <t>UCI</t>
  </si>
  <si>
    <t>Caries-Free</t>
  </si>
  <si>
    <t>Percent</t>
  </si>
  <si>
    <t>Mean</t>
  </si>
  <si>
    <t>Totals with Confidence Intervals:</t>
  </si>
  <si>
    <t>Year 8</t>
  </si>
  <si>
    <t>Confidence Intervals for Total:</t>
  </si>
  <si>
    <t>Error Value</t>
  </si>
  <si>
    <t>Error Values</t>
  </si>
  <si>
    <t>5 Year Olds</t>
  </si>
  <si>
    <t xml:space="preserve">Mean </t>
  </si>
  <si>
    <t>Graphed</t>
  </si>
  <si>
    <t>Measurement:</t>
  </si>
  <si>
    <t>Error Values for Confidence Intervals (Total Only)</t>
  </si>
  <si>
    <t>Reference</t>
  </si>
  <si>
    <t>Rate Ratio</t>
  </si>
  <si>
    <t>Non-Maori</t>
  </si>
  <si>
    <t>Not Fluoridated</t>
  </si>
  <si>
    <t>Fluoridated</t>
  </si>
  <si>
    <t>Non-Fluoridated</t>
  </si>
  <si>
    <t>Source: Community Oral Health Services 2002-2016</t>
  </si>
  <si>
    <t>Methods and data sources</t>
  </si>
  <si>
    <t>Data in this Excel tool was sourced from the Community Oral Health Services (COHS), 2002-2016.</t>
  </si>
  <si>
    <t>Ethnicity classification</t>
  </si>
  <si>
    <t>Confidence intervals</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</si>
  <si>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 The CI is influenced by the sample size of the group. As the sample size becomes smaller, the CI becomes wider, and there is less certainty about the rate.</t>
  </si>
  <si>
    <t>Rate ratios</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</si>
  <si>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 Unless otherwise stated, all indicators used ethnicity as recorded on the surveys.</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</si>
  <si>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</si>
  <si>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Mean Number of Decayed, Missing and Filled Teeth at 5 Years of Age</t>
  </si>
  <si>
    <t>Mean Number of Decayed,Missing and Filled Teeth at Year 8</t>
  </si>
  <si>
    <t>Mean Number of Decayed,Missing and Filled Teeth at 5 Years of Age</t>
  </si>
  <si>
    <t>Mean Number of Decayed, Missing and Filled Teeth at Year 8</t>
  </si>
  <si>
    <t>Māori / non-Māori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</si>
</sst>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color theme="1"/>
      <name val="Arial"/>
      <family val="2"/>
    </font>
    <font>
      <b/>
      <sz val="10"/>
      <color theme="1"/>
      <name val="Arial"/>
      <family val="2"/>
    </font>
    <font>
      <b/>
      <sz val="16"/>
      <color theme="1"/>
      <name val="Arial"/>
      <family val="2"/>
    </font>
    <font>
      <sz val="9"/>
      <color theme="1"/>
      <name val="Arial"/>
      <family val="2"/>
    </font>
    <font>
      <b/>
      <sz val="12"/>
      <color theme="1"/>
      <name val="Arial"/>
      <family val="2"/>
    </font>
    <font>
      <sz val="12"/>
      <color theme="1"/>
      <name val="Arial"/>
      <family val="2"/>
    </font>
    <font>
      <u/>
      <sz val="10"/>
      <color theme="10"/>
      <name val="Arial"/>
      <family val="2"/>
    </font>
    <font>
      <sz val="11"/>
      <color theme="1"/>
      <name val="Arial"/>
      <family val="2"/>
    </font>
    <font>
      <u/>
      <sz val="11"/>
      <color theme="0" tint="-0.499984740745262"/>
      <name val="Wingdings 3"/>
      <family val="1"/>
      <charset val="2"/>
    </font>
    <font>
      <sz val="10"/>
      <color theme="1"/>
      <name val="Arial"/>
      <family val="2"/>
    </font>
    <font>
      <b/>
      <sz val="30"/>
      <color theme="1"/>
      <name val="Georgia"/>
      <family val="1"/>
    </font>
    <font>
      <b/>
      <sz val="14"/>
      <color theme="1"/>
      <name val="Georgia"/>
      <family val="1"/>
    </font>
    <font>
      <sz val="11"/>
      <color theme="1"/>
      <name val="Georgia"/>
      <family val="1"/>
    </font>
    <font>
      <b/>
      <sz val="10"/>
      <color theme="0"/>
      <name val="Arial"/>
      <family val="2"/>
    </font>
    <font>
      <sz val="10"/>
      <color theme="0"/>
      <name val="Arial"/>
      <family val="2"/>
    </font>
    <font>
      <b/>
      <sz val="12"/>
      <color theme="0"/>
      <name val="Arial"/>
      <family val="2"/>
    </font>
    <font>
      <b/>
      <sz val="11"/>
      <color theme="0"/>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9" fontId="9" fillId="0" borderId="0" applyFont="0" applyFill="0" applyBorder="0" applyAlignment="0" applyProtection="0"/>
  </cellStyleXfs>
  <cellXfs count="82">
    <xf numFmtId="0" fontId="0" fillId="0" borderId="0" xfId="0"/>
    <xf numFmtId="2" fontId="0" fillId="0" borderId="0" xfId="0" applyNumberFormat="1"/>
    <xf numFmtId="0" fontId="3" fillId="0" borderId="0" xfId="0" applyFont="1"/>
    <xf numFmtId="1" fontId="0" fillId="0" borderId="0" xfId="0" applyNumberFormat="1"/>
    <xf numFmtId="0" fontId="0" fillId="0" borderId="0" xfId="0" applyAlignment="1"/>
    <xf numFmtId="2" fontId="0" fillId="0" borderId="0" xfId="0" applyNumberFormat="1" applyAlignment="1"/>
    <xf numFmtId="0" fontId="10" fillId="4" borderId="0" xfId="0" applyFont="1" applyFill="1" applyAlignment="1" applyProtection="1">
      <alignment vertical="center"/>
      <protection locked="0"/>
    </xf>
    <xf numFmtId="0" fontId="0" fillId="4" borderId="0" xfId="0" applyFill="1" applyProtection="1">
      <protection locked="0"/>
    </xf>
    <xf numFmtId="0" fontId="11" fillId="4" borderId="0" xfId="0" applyFont="1" applyFill="1" applyAlignment="1" applyProtection="1">
      <alignment vertical="center"/>
      <protection locked="0"/>
    </xf>
    <xf numFmtId="0" fontId="12" fillId="4" borderId="0" xfId="0" applyFont="1" applyFill="1" applyAlignment="1" applyProtection="1">
      <alignment vertical="top" wrapText="1"/>
      <protection locked="0"/>
    </xf>
    <xf numFmtId="0" fontId="12" fillId="4" borderId="0" xfId="0" applyFont="1" applyFill="1" applyAlignment="1" applyProtection="1">
      <alignment vertical="top"/>
      <protection locked="0"/>
    </xf>
    <xf numFmtId="0" fontId="0" fillId="2" borderId="0" xfId="0" applyFill="1" applyProtection="1">
      <protection locked="0"/>
    </xf>
    <xf numFmtId="0" fontId="0" fillId="0" borderId="0" xfId="0" applyProtection="1">
      <protection locked="0"/>
    </xf>
    <xf numFmtId="0" fontId="8" fillId="3" borderId="5" xfId="1" applyFont="1" applyFill="1" applyBorder="1" applyAlignment="1" applyProtection="1">
      <protection locked="0"/>
    </xf>
    <xf numFmtId="0" fontId="14" fillId="4" borderId="0" xfId="0" applyFont="1" applyFill="1" applyProtection="1">
      <protection locked="0"/>
    </xf>
    <xf numFmtId="2" fontId="14" fillId="4" borderId="0" xfId="0" applyNumberFormat="1" applyFont="1" applyFill="1" applyProtection="1">
      <protection locked="0"/>
    </xf>
    <xf numFmtId="0" fontId="5" fillId="2" borderId="0" xfId="0" applyFont="1" applyFill="1" applyProtection="1">
      <protection locked="0"/>
    </xf>
    <xf numFmtId="0" fontId="4" fillId="2" borderId="0" xfId="0" applyFont="1" applyFill="1" applyProtection="1">
      <protection locked="0"/>
    </xf>
    <xf numFmtId="0" fontId="14" fillId="4" borderId="0" xfId="0" applyFont="1" applyFill="1" applyAlignment="1" applyProtection="1">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Alignment="1" applyProtection="1">
      <alignment horizontal="center" vertical="center"/>
      <protection locked="0"/>
    </xf>
    <xf numFmtId="0" fontId="0" fillId="2" borderId="0" xfId="0" applyFill="1" applyBorder="1" applyProtection="1">
      <protection locked="0"/>
    </xf>
    <xf numFmtId="2" fontId="1" fillId="2" borderId="0" xfId="0" applyNumberFormat="1" applyFont="1" applyFill="1" applyProtection="1">
      <protection locked="0"/>
    </xf>
    <xf numFmtId="2" fontId="0" fillId="2" borderId="0" xfId="0" applyNumberFormat="1" applyFill="1" applyProtection="1">
      <protection locked="0"/>
    </xf>
    <xf numFmtId="2" fontId="0" fillId="2" borderId="0" xfId="0" applyNumberFormat="1" applyFill="1" applyBorder="1" applyProtection="1">
      <protection locked="0"/>
    </xf>
    <xf numFmtId="164" fontId="0" fillId="2" borderId="0" xfId="2" applyNumberFormat="1" applyFont="1" applyFill="1" applyProtection="1">
      <protection locked="0"/>
    </xf>
    <xf numFmtId="0" fontId="0" fillId="2" borderId="1" xfId="0" applyFill="1" applyBorder="1" applyProtection="1">
      <protection locked="0"/>
    </xf>
    <xf numFmtId="2" fontId="1" fillId="2" borderId="1" xfId="0" applyNumberFormat="1" applyFont="1" applyFill="1" applyBorder="1" applyProtection="1">
      <protection locked="0"/>
    </xf>
    <xf numFmtId="2" fontId="0" fillId="2" borderId="1" xfId="0" applyNumberFormat="1" applyFill="1" applyBorder="1" applyProtection="1">
      <protection locked="0"/>
    </xf>
    <xf numFmtId="0" fontId="0" fillId="4" borderId="0" xfId="0" applyFill="1" applyAlignment="1" applyProtection="1">
      <alignment horizontal="center"/>
      <protection locked="0"/>
    </xf>
    <xf numFmtId="0" fontId="0" fillId="4" borderId="0" xfId="0" applyFill="1" applyAlignment="1" applyProtection="1">
      <protection locked="0"/>
    </xf>
    <xf numFmtId="2" fontId="0" fillId="4" borderId="0" xfId="0" applyNumberFormat="1" applyFill="1" applyProtection="1">
      <protection locked="0"/>
    </xf>
    <xf numFmtId="0" fontId="0" fillId="4" borderId="0" xfId="0" applyFill="1" applyBorder="1" applyProtection="1">
      <protection locked="0"/>
    </xf>
    <xf numFmtId="2" fontId="0" fillId="4" borderId="0" xfId="0" applyNumberFormat="1" applyFill="1" applyBorder="1" applyProtection="1">
      <protection locked="0"/>
    </xf>
    <xf numFmtId="0" fontId="0" fillId="0" borderId="0" xfId="0" applyBorder="1" applyProtection="1">
      <protection locked="0"/>
    </xf>
    <xf numFmtId="0" fontId="14" fillId="4" borderId="0" xfId="0" applyFont="1" applyFill="1" applyBorder="1" applyProtection="1">
      <protection locked="0"/>
    </xf>
    <xf numFmtId="2" fontId="14" fillId="4" borderId="0" xfId="0" applyNumberFormat="1" applyFont="1" applyFill="1" applyBorder="1" applyProtection="1">
      <protection locked="0"/>
    </xf>
    <xf numFmtId="0" fontId="14" fillId="0" borderId="0" xfId="0" applyFont="1" applyBorder="1" applyProtection="1">
      <protection locked="0"/>
    </xf>
    <xf numFmtId="0" fontId="15" fillId="4" borderId="0" xfId="0" applyFont="1" applyFill="1" applyBorder="1" applyProtection="1">
      <protection locked="0"/>
    </xf>
    <xf numFmtId="0" fontId="0" fillId="2" borderId="0" xfId="0" applyFill="1" applyAlignment="1" applyProtection="1">
      <alignment horizontal="center"/>
      <protection locked="0"/>
    </xf>
    <xf numFmtId="0" fontId="0" fillId="2" borderId="0" xfId="0" applyFont="1" applyFill="1" applyAlignment="1" applyProtection="1">
      <alignment horizontal="center"/>
      <protection locked="0"/>
    </xf>
    <xf numFmtId="2" fontId="14" fillId="4" borderId="0" xfId="0" applyNumberFormat="1" applyFont="1" applyFill="1" applyBorder="1" applyAlignment="1" applyProtection="1">
      <protection locked="0"/>
    </xf>
    <xf numFmtId="164" fontId="0" fillId="2" borderId="0" xfId="2" applyNumberFormat="1" applyFont="1" applyFill="1" applyBorder="1" applyProtection="1">
      <protection locked="0"/>
    </xf>
    <xf numFmtId="2" fontId="1" fillId="2" borderId="0" xfId="0" applyNumberFormat="1" applyFont="1" applyFill="1" applyBorder="1" applyProtection="1">
      <protection locked="0"/>
    </xf>
    <xf numFmtId="0" fontId="4" fillId="2" borderId="0" xfId="0" applyFont="1" applyFill="1" applyBorder="1" applyProtection="1">
      <protection locked="0"/>
    </xf>
    <xf numFmtId="0" fontId="1"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vertical="center"/>
      <protection locked="0"/>
    </xf>
    <xf numFmtId="0" fontId="1" fillId="2" borderId="0" xfId="0" applyFont="1" applyFill="1" applyBorder="1" applyAlignment="1" applyProtection="1">
      <alignment wrapText="1"/>
      <protection locked="0"/>
    </xf>
    <xf numFmtId="0" fontId="0" fillId="2" borderId="0" xfId="0" applyFill="1" applyBorder="1" applyAlignment="1" applyProtection="1">
      <protection locked="0"/>
    </xf>
    <xf numFmtId="0" fontId="16" fillId="4" borderId="0" xfId="0" applyFont="1" applyFill="1" applyBorder="1" applyProtection="1">
      <protection locked="0"/>
    </xf>
    <xf numFmtId="0" fontId="0" fillId="2" borderId="0" xfId="0" applyFill="1" applyBorder="1" applyAlignment="1" applyProtection="1">
      <alignment vertical="center" wrapText="1"/>
      <protection locked="0"/>
    </xf>
    <xf numFmtId="2" fontId="0" fillId="2" borderId="0" xfId="0" applyNumberFormat="1" applyFont="1" applyFill="1" applyBorder="1" applyAlignment="1" applyProtection="1">
      <protection locked="0"/>
    </xf>
    <xf numFmtId="0" fontId="1" fillId="2" borderId="0" xfId="0" applyFont="1" applyFill="1" applyBorder="1" applyAlignment="1" applyProtection="1">
      <protection locked="0"/>
    </xf>
    <xf numFmtId="2" fontId="0" fillId="2" borderId="0" xfId="0" applyNumberFormat="1" applyFont="1" applyFill="1" applyBorder="1" applyProtection="1">
      <protection locked="0"/>
    </xf>
    <xf numFmtId="0" fontId="0" fillId="2" borderId="0" xfId="0" applyFill="1" applyBorder="1" applyAlignment="1" applyProtection="1">
      <alignment horizontal="center"/>
      <protection locked="0"/>
    </xf>
    <xf numFmtId="164" fontId="0" fillId="2" borderId="0" xfId="2" applyNumberFormat="1" applyFont="1" applyFill="1" applyBorder="1" applyAlignment="1" applyProtection="1">
      <protection locked="0"/>
    </xf>
    <xf numFmtId="2" fontId="0" fillId="2" borderId="0" xfId="0" applyNumberFormat="1" applyFill="1" applyBorder="1" applyAlignment="1" applyProtection="1">
      <protection locked="0"/>
    </xf>
    <xf numFmtId="10" fontId="0" fillId="2" borderId="0" xfId="0" applyNumberFormat="1" applyFill="1" applyBorder="1" applyProtection="1">
      <protection locked="0"/>
    </xf>
    <xf numFmtId="0" fontId="0" fillId="2" borderId="0" xfId="0" applyFill="1" applyBorder="1" applyAlignment="1" applyProtection="1">
      <alignment vertical="center"/>
      <protection locked="0"/>
    </xf>
    <xf numFmtId="0" fontId="14" fillId="0" borderId="0" xfId="0" applyFont="1" applyProtection="1">
      <protection locked="0"/>
    </xf>
    <xf numFmtId="0" fontId="12" fillId="4" borderId="0" xfId="0" applyFont="1" applyFill="1" applyAlignment="1" applyProtection="1">
      <alignment horizontal="left" vertical="top" wrapText="1"/>
      <protection locked="0"/>
    </xf>
    <xf numFmtId="0" fontId="0" fillId="2" borderId="0" xfId="0" applyFill="1" applyAlignment="1" applyProtection="1">
      <alignment horizontal="center"/>
      <protection locked="0"/>
    </xf>
    <xf numFmtId="0" fontId="0" fillId="4" borderId="0" xfId="0" applyFill="1" applyAlignment="1" applyProtection="1">
      <alignment horizontal="center"/>
      <protection locked="0"/>
    </xf>
    <xf numFmtId="0" fontId="2" fillId="2" borderId="0" xfId="0" applyFont="1" applyFill="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4" fillId="4" borderId="0" xfId="0" applyFont="1" applyFill="1" applyBorder="1" applyAlignment="1" applyProtection="1">
      <alignment horizontal="center"/>
      <protection locked="0"/>
    </xf>
    <xf numFmtId="0" fontId="13" fillId="4" borderId="0" xfId="0" applyFont="1" applyFill="1" applyBorder="1" applyAlignment="1" applyProtection="1">
      <alignment horizontal="center"/>
      <protection locked="0"/>
    </xf>
    <xf numFmtId="0" fontId="14" fillId="4" borderId="0" xfId="0" applyFont="1" applyFill="1" applyAlignment="1" applyProtection="1">
      <alignment horizontal="center"/>
      <protection locked="0"/>
    </xf>
    <xf numFmtId="0" fontId="14" fillId="0" borderId="0" xfId="0" applyFont="1" applyAlignment="1" applyProtection="1">
      <alignment horizontal="center"/>
      <protection locked="0"/>
    </xf>
    <xf numFmtId="0" fontId="14" fillId="4" borderId="0" xfId="0" applyFont="1" applyFill="1" applyProtection="1">
      <protection locked="0"/>
    </xf>
    <xf numFmtId="0" fontId="14" fillId="4" borderId="0" xfId="0" applyFont="1" applyFill="1" applyAlignment="1" applyProtection="1">
      <alignment horizontal="center" vertical="center"/>
      <protection locked="0"/>
    </xf>
    <xf numFmtId="164" fontId="0" fillId="2" borderId="0" xfId="2" applyNumberFormat="1" applyFont="1" applyFill="1" applyAlignment="1" applyProtection="1">
      <alignment horizontal="center"/>
      <protection locked="0"/>
    </xf>
    <xf numFmtId="0" fontId="14" fillId="4" borderId="0" xfId="0" applyFont="1" applyFill="1" applyAlignment="1" applyProtection="1">
      <alignment horizontal="center" vertical="center" wrapText="1"/>
      <protection locked="0"/>
    </xf>
    <xf numFmtId="0" fontId="0" fillId="4" borderId="0" xfId="0" applyFill="1" applyAlignment="1">
      <alignment horizontal="center"/>
    </xf>
    <xf numFmtId="0" fontId="0" fillId="0" borderId="0" xfId="0" applyAlignment="1">
      <alignment horizontal="center"/>
    </xf>
    <xf numFmtId="0" fontId="5" fillId="0" borderId="0" xfId="0" applyFont="1" applyAlignment="1">
      <alignment horizontal="center"/>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'Māori vs Non-Māori'!$B$35</c:f>
          <c:strCache>
            <c:ptCount val="1"/>
            <c:pt idx="0">
              <c:v>Mean dmft at 5 Years of Age, Overall</c:v>
            </c:pt>
          </c:strCache>
        </c:strRef>
      </c:tx>
      <c:layout>
        <c:manualLayout>
          <c:xMode val="edge"/>
          <c:yMode val="edge"/>
          <c:x val="2.7240193701901911E-2"/>
          <c:y val="4.235750381948524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9210082765213452E-2"/>
          <c:y val="0.19294994842062649"/>
          <c:w val="0.89184523041177244"/>
          <c:h val="0.56509760906752315"/>
        </c:manualLayout>
      </c:layout>
      <c:lineChart>
        <c:grouping val="standard"/>
        <c:varyColors val="0"/>
        <c:ser>
          <c:idx val="2"/>
          <c:order val="0"/>
          <c:tx>
            <c:strRef>
              <c:f>'Māori vs Non-Māori'!$B$38</c:f>
              <c:strCache>
                <c:ptCount val="1"/>
                <c:pt idx="0">
                  <c:v>Māori</c:v>
                </c:pt>
              </c:strCache>
            </c:strRef>
          </c:tx>
          <c:spPr>
            <a:ln w="28575" cap="rnd">
              <a:solidFill>
                <a:srgbClr val="5B9BD5"/>
              </a:solidFill>
              <a:round/>
            </a:ln>
            <a:effectLst/>
          </c:spPr>
          <c:marker>
            <c:symbol val="square"/>
            <c:size val="3"/>
            <c:spPr>
              <a:solidFill>
                <a:srgbClr val="5B9BD5"/>
              </a:solidFill>
              <a:ln w="9525">
                <a:solidFill>
                  <a:srgbClr val="5B9BD5"/>
                </a:solidFill>
              </a:ln>
              <a:effectLst/>
            </c:spPr>
          </c:marker>
          <c:errBars>
            <c:errDir val="y"/>
            <c:errBarType val="both"/>
            <c:errValType val="cust"/>
            <c:noEndCap val="0"/>
            <c:plus>
              <c:numRef>
                <c:f>'Māori vs Non-Māori'!$BN$67:$BN$81</c:f>
                <c:numCache>
                  <c:formatCode>General</c:formatCode>
                  <c:ptCount val="15"/>
                  <c:pt idx="0">
                    <c:v>9.6378956728513862E-2</c:v>
                  </c:pt>
                  <c:pt idx="1">
                    <c:v>7.2315873768254033E-2</c:v>
                  </c:pt>
                  <c:pt idx="2">
                    <c:v>7.8274883839185586E-2</c:v>
                  </c:pt>
                  <c:pt idx="3">
                    <c:v>7.7445679317947547E-2</c:v>
                  </c:pt>
                  <c:pt idx="4">
                    <c:v>7.9065504245895216E-2</c:v>
                  </c:pt>
                  <c:pt idx="5">
                    <c:v>8.0636570074106587E-2</c:v>
                  </c:pt>
                  <c:pt idx="6">
                    <c:v>7.3768908830972688E-2</c:v>
                  </c:pt>
                  <c:pt idx="7">
                    <c:v>7.6173790617536194E-2</c:v>
                  </c:pt>
                  <c:pt idx="8">
                    <c:v>6.1235102071383211E-2</c:v>
                  </c:pt>
                  <c:pt idx="9">
                    <c:v>6.0471393380403561E-2</c:v>
                  </c:pt>
                  <c:pt idx="10">
                    <c:v>6.0838162868160336E-2</c:v>
                  </c:pt>
                  <c:pt idx="11">
                    <c:v>5.8091367874635737E-2</c:v>
                  </c:pt>
                  <c:pt idx="12">
                    <c:v>5.7315328401799231E-2</c:v>
                  </c:pt>
                  <c:pt idx="13">
                    <c:v>5.7341056350001196E-2</c:v>
                  </c:pt>
                  <c:pt idx="14">
                    <c:v>5.5118786574929635E-2</c:v>
                  </c:pt>
                </c:numCache>
              </c:numRef>
            </c:plus>
            <c:minus>
              <c:numRef>
                <c:f>'Māori vs Non-Māori'!$BN$67:$BN$81</c:f>
                <c:numCache>
                  <c:formatCode>General</c:formatCode>
                  <c:ptCount val="15"/>
                  <c:pt idx="0">
                    <c:v>9.6378956728513862E-2</c:v>
                  </c:pt>
                  <c:pt idx="1">
                    <c:v>7.2315873768254033E-2</c:v>
                  </c:pt>
                  <c:pt idx="2">
                    <c:v>7.8274883839185586E-2</c:v>
                  </c:pt>
                  <c:pt idx="3">
                    <c:v>7.7445679317947547E-2</c:v>
                  </c:pt>
                  <c:pt idx="4">
                    <c:v>7.9065504245895216E-2</c:v>
                  </c:pt>
                  <c:pt idx="5">
                    <c:v>8.0636570074106587E-2</c:v>
                  </c:pt>
                  <c:pt idx="6">
                    <c:v>7.3768908830972688E-2</c:v>
                  </c:pt>
                  <c:pt idx="7">
                    <c:v>7.6173790617536194E-2</c:v>
                  </c:pt>
                  <c:pt idx="8">
                    <c:v>6.1235102071383211E-2</c:v>
                  </c:pt>
                  <c:pt idx="9">
                    <c:v>6.0471393380403561E-2</c:v>
                  </c:pt>
                  <c:pt idx="10">
                    <c:v>6.0838162868160336E-2</c:v>
                  </c:pt>
                  <c:pt idx="11">
                    <c:v>5.8091367874635737E-2</c:v>
                  </c:pt>
                  <c:pt idx="12">
                    <c:v>5.7315328401799231E-2</c:v>
                  </c:pt>
                  <c:pt idx="13">
                    <c:v>5.7341056350001196E-2</c:v>
                  </c:pt>
                  <c:pt idx="14">
                    <c:v>5.5118786574929635E-2</c:v>
                  </c:pt>
                </c:numCache>
              </c:numRef>
            </c:minus>
            <c:spPr>
              <a:noFill/>
              <a:ln w="9525" cap="flat" cmpd="sng" algn="ctr">
                <a:solidFill>
                  <a:srgbClr val="5B9BD5"/>
                </a:solidFill>
                <a:round/>
              </a:ln>
              <a:effectLst/>
            </c:spPr>
          </c:errBars>
          <c:cat>
            <c:numRef>
              <c:f>'Māori vs Non-Māori'!$A$40:$A$54</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'Māori vs Non-Māori'!$B$40:$B$54</c:f>
              <c:numCache>
                <c:formatCode>0.00</c:formatCode>
                <c:ptCount val="15"/>
                <c:pt idx="0">
                  <c:v>3.5500000000000003</c:v>
                </c:pt>
                <c:pt idx="1">
                  <c:v>3.92</c:v>
                </c:pt>
                <c:pt idx="2">
                  <c:v>3.665</c:v>
                </c:pt>
                <c:pt idx="3">
                  <c:v>3.7450000000000001</c:v>
                </c:pt>
                <c:pt idx="4">
                  <c:v>3.7649999999999997</c:v>
                </c:pt>
                <c:pt idx="5">
                  <c:v>3.64</c:v>
                </c:pt>
                <c:pt idx="6">
                  <c:v>3.5150000000000001</c:v>
                </c:pt>
                <c:pt idx="7">
                  <c:v>3.88</c:v>
                </c:pt>
                <c:pt idx="8">
                  <c:v>3.1349999999999998</c:v>
                </c:pt>
                <c:pt idx="9">
                  <c:v>3.0650000000000004</c:v>
                </c:pt>
                <c:pt idx="10">
                  <c:v>3.145</c:v>
                </c:pt>
                <c:pt idx="11">
                  <c:v>3.1150000000000002</c:v>
                </c:pt>
                <c:pt idx="12">
                  <c:v>2.94</c:v>
                </c:pt>
                <c:pt idx="13">
                  <c:v>2.9000000000000004</c:v>
                </c:pt>
                <c:pt idx="14">
                  <c:v>2.9049999999999998</c:v>
                </c:pt>
              </c:numCache>
            </c:numRef>
          </c:val>
          <c:smooth val="0"/>
          <c:extLst>
            <c:ext xmlns:c16="http://schemas.microsoft.com/office/drawing/2014/chart" uri="{C3380CC4-5D6E-409C-BE32-E72D297353CC}">
              <c16:uniqueId val="{00000000-84EB-485D-98C3-B021190E12AF}"/>
            </c:ext>
          </c:extLst>
        </c:ser>
        <c:ser>
          <c:idx val="0"/>
          <c:order val="1"/>
          <c:tx>
            <c:strRef>
              <c:f>'Māori vs Non-Māori'!$E$38</c:f>
              <c:strCache>
                <c:ptCount val="1"/>
                <c:pt idx="0">
                  <c:v>Non-Māori</c:v>
                </c:pt>
              </c:strCache>
            </c:strRef>
          </c:tx>
          <c:spPr>
            <a:ln w="28575" cap="rnd">
              <a:solidFill>
                <a:sysClr val="window" lastClr="FFFFFF">
                  <a:lumMod val="50000"/>
                </a:sysClr>
              </a:solidFill>
              <a:round/>
            </a:ln>
            <a:effectLst/>
          </c:spPr>
          <c:marker>
            <c:symbol val="square"/>
            <c:size val="3"/>
            <c:spPr>
              <a:solidFill>
                <a:sysClr val="window" lastClr="FFFFFF">
                  <a:lumMod val="50000"/>
                </a:sysClr>
              </a:solidFill>
              <a:ln w="9525">
                <a:solidFill>
                  <a:sysClr val="window" lastClr="FFFFFF">
                    <a:lumMod val="50000"/>
                  </a:sysClr>
                </a:solidFill>
              </a:ln>
              <a:effectLst/>
            </c:spPr>
          </c:marker>
          <c:errBars>
            <c:errDir val="y"/>
            <c:errBarType val="both"/>
            <c:errValType val="cust"/>
            <c:noEndCap val="0"/>
            <c:plus>
              <c:numRef>
                <c:f>'Māori vs Non-Māori'!$BO$67:$BO$81</c:f>
                <c:numCache>
                  <c:formatCode>General</c:formatCode>
                  <c:ptCount val="15"/>
                  <c:pt idx="0">
                    <c:v>3.6401184949154543E-2</c:v>
                  </c:pt>
                  <c:pt idx="1">
                    <c:v>2.9288826337500323E-2</c:v>
                  </c:pt>
                  <c:pt idx="2">
                    <c:v>2.8180652047061841E-2</c:v>
                  </c:pt>
                  <c:pt idx="3">
                    <c:v>3.0247181286860284E-2</c:v>
                  </c:pt>
                  <c:pt idx="4">
                    <c:v>2.8631172922642893E-2</c:v>
                  </c:pt>
                  <c:pt idx="5">
                    <c:v>3.5707024401381411E-2</c:v>
                  </c:pt>
                  <c:pt idx="6">
                    <c:v>2.7825106376735131E-2</c:v>
                  </c:pt>
                  <c:pt idx="7">
                    <c:v>0.10782281756851313</c:v>
                  </c:pt>
                  <c:pt idx="8">
                    <c:v>2.5784803599150648E-2</c:v>
                  </c:pt>
                  <c:pt idx="9">
                    <c:v>2.5827317177311456E-2</c:v>
                  </c:pt>
                  <c:pt idx="10">
                    <c:v>2.3493160223930942E-2</c:v>
                  </c:pt>
                  <c:pt idx="11">
                    <c:v>2.4056061442528105E-2</c:v>
                  </c:pt>
                  <c:pt idx="12">
                    <c:v>2.6743797718608849E-2</c:v>
                  </c:pt>
                  <c:pt idx="13">
                    <c:v>2.4712754749222288E-2</c:v>
                  </c:pt>
                  <c:pt idx="14">
                    <c:v>2.459637617452002E-2</c:v>
                  </c:pt>
                </c:numCache>
              </c:numRef>
            </c:plus>
            <c:minus>
              <c:numRef>
                <c:f>'Māori vs Non-Māori'!$BO$67:$BO$81</c:f>
                <c:numCache>
                  <c:formatCode>General</c:formatCode>
                  <c:ptCount val="15"/>
                  <c:pt idx="0">
                    <c:v>3.6401184949154543E-2</c:v>
                  </c:pt>
                  <c:pt idx="1">
                    <c:v>2.9288826337500323E-2</c:v>
                  </c:pt>
                  <c:pt idx="2">
                    <c:v>2.8180652047061841E-2</c:v>
                  </c:pt>
                  <c:pt idx="3">
                    <c:v>3.0247181286860284E-2</c:v>
                  </c:pt>
                  <c:pt idx="4">
                    <c:v>2.8631172922642893E-2</c:v>
                  </c:pt>
                  <c:pt idx="5">
                    <c:v>3.5707024401381411E-2</c:v>
                  </c:pt>
                  <c:pt idx="6">
                    <c:v>2.7825106376735131E-2</c:v>
                  </c:pt>
                  <c:pt idx="7">
                    <c:v>0.10782281756851313</c:v>
                  </c:pt>
                  <c:pt idx="8">
                    <c:v>2.5784803599150648E-2</c:v>
                  </c:pt>
                  <c:pt idx="9">
                    <c:v>2.5827317177311456E-2</c:v>
                  </c:pt>
                  <c:pt idx="10">
                    <c:v>2.3493160223930942E-2</c:v>
                  </c:pt>
                  <c:pt idx="11">
                    <c:v>2.4056061442528105E-2</c:v>
                  </c:pt>
                  <c:pt idx="12">
                    <c:v>2.6743797718608849E-2</c:v>
                  </c:pt>
                  <c:pt idx="13">
                    <c:v>2.4712754749222288E-2</c:v>
                  </c:pt>
                  <c:pt idx="14">
                    <c:v>2.459637617452002E-2</c:v>
                  </c:pt>
                </c:numCache>
              </c:numRef>
            </c:minus>
            <c:spPr>
              <a:noFill/>
              <a:ln w="9525" cap="flat" cmpd="sng" algn="ctr">
                <a:solidFill>
                  <a:schemeClr val="tx1">
                    <a:lumMod val="65000"/>
                    <a:lumOff val="35000"/>
                  </a:schemeClr>
                </a:solidFill>
                <a:round/>
              </a:ln>
              <a:effectLst/>
            </c:spPr>
          </c:errBars>
          <c:cat>
            <c:numRef>
              <c:f>'Māori vs Non-Māori'!$A$40:$A$54</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'Māori vs Non-Māori'!$E$40:$E$54</c:f>
              <c:numCache>
                <c:formatCode>0.00</c:formatCode>
                <c:ptCount val="15"/>
                <c:pt idx="0">
                  <c:v>2.3725000000000001</c:v>
                </c:pt>
                <c:pt idx="1">
                  <c:v>2.5625</c:v>
                </c:pt>
                <c:pt idx="2">
                  <c:v>2.4649999999999999</c:v>
                </c:pt>
                <c:pt idx="3">
                  <c:v>2.5825</c:v>
                </c:pt>
                <c:pt idx="4">
                  <c:v>2.6825000000000001</c:v>
                </c:pt>
                <c:pt idx="5">
                  <c:v>2.9350000000000001</c:v>
                </c:pt>
                <c:pt idx="6">
                  <c:v>2.48</c:v>
                </c:pt>
                <c:pt idx="7">
                  <c:v>2.5925000000000002</c:v>
                </c:pt>
                <c:pt idx="8">
                  <c:v>2.4500000000000002</c:v>
                </c:pt>
                <c:pt idx="9">
                  <c:v>2.3675000000000002</c:v>
                </c:pt>
                <c:pt idx="10">
                  <c:v>2.1950000000000003</c:v>
                </c:pt>
                <c:pt idx="11">
                  <c:v>2.395</c:v>
                </c:pt>
                <c:pt idx="12">
                  <c:v>2.3450000000000002</c:v>
                </c:pt>
                <c:pt idx="13">
                  <c:v>2.4000000000000004</c:v>
                </c:pt>
                <c:pt idx="14">
                  <c:v>2.37</c:v>
                </c:pt>
              </c:numCache>
            </c:numRef>
          </c:val>
          <c:smooth val="0"/>
          <c:extLst>
            <c:ext xmlns:c16="http://schemas.microsoft.com/office/drawing/2014/chart" uri="{C3380CC4-5D6E-409C-BE32-E72D297353CC}">
              <c16:uniqueId val="{00000001-84EB-485D-98C3-B021190E12AF}"/>
            </c:ext>
          </c:extLst>
        </c:ser>
        <c:dLbls>
          <c:showLegendKey val="0"/>
          <c:showVal val="0"/>
          <c:showCatName val="0"/>
          <c:showSerName val="0"/>
          <c:showPercent val="0"/>
          <c:showBubbleSize val="0"/>
        </c:dLbls>
        <c:marker val="1"/>
        <c:smooth val="0"/>
        <c:axId val="296354920"/>
        <c:axId val="299499408"/>
      </c:lineChart>
      <c:catAx>
        <c:axId val="296354920"/>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9499408"/>
        <c:crosses val="autoZero"/>
        <c:auto val="1"/>
        <c:lblAlgn val="ctr"/>
        <c:lblOffset val="100"/>
        <c:noMultiLvlLbl val="0"/>
      </c:catAx>
      <c:valAx>
        <c:axId val="299499408"/>
        <c:scaling>
          <c:orientation val="minMax"/>
        </c:scaling>
        <c:delete val="0"/>
        <c:axPos val="l"/>
        <c:numFmt formatCode="0.0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6354920"/>
        <c:crosses val="autoZero"/>
        <c:crossBetween val="between"/>
      </c:valAx>
      <c:spPr>
        <a:noFill/>
        <a:ln>
          <a:noFill/>
        </a:ln>
        <a:effectLst/>
      </c:spPr>
    </c:plotArea>
    <c:legend>
      <c:legendPos val="b"/>
      <c:layout>
        <c:manualLayout>
          <c:xMode val="edge"/>
          <c:yMode val="edge"/>
          <c:x val="0.7733928741968733"/>
          <c:y val="4.7189772920176024E-2"/>
          <c:w val="0.18495031404656503"/>
          <c:h val="0.2272465441819772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'Māori vs Non-Māori'!$P$35</c:f>
          <c:strCache>
            <c:ptCount val="1"/>
            <c:pt idx="0">
              <c:v>Rate Ratio of Mean dmft at 5 Years of Age, Overall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21135936688117E-2"/>
          <c:y val="0.22809221306496139"/>
          <c:w val="0.92927388518059606"/>
          <c:h val="0.63707084804029812"/>
        </c:manualLayout>
      </c:layout>
      <c:lineChart>
        <c:grouping val="standard"/>
        <c:varyColors val="0"/>
        <c:ser>
          <c:idx val="0"/>
          <c:order val="0"/>
          <c:tx>
            <c:strRef>
              <c:f>'Māori vs Non-Māori'!$Q$39</c:f>
              <c:strCache>
                <c:ptCount val="1"/>
                <c:pt idx="0">
                  <c:v>Māori / non-Māori</c:v>
                </c:pt>
              </c:strCache>
            </c:strRef>
          </c:tx>
          <c:spPr>
            <a:ln w="28575" cap="rnd">
              <a:solidFill>
                <a:schemeClr val="accent4">
                  <a:lumMod val="60000"/>
                  <a:lumOff val="40000"/>
                </a:schemeClr>
              </a:solidFill>
              <a:round/>
            </a:ln>
            <a:effectLst/>
          </c:spPr>
          <c:marker>
            <c:symbol val="square"/>
            <c:size val="6"/>
            <c:spPr>
              <a:solidFill>
                <a:schemeClr val="accent4">
                  <a:lumMod val="60000"/>
                  <a:lumOff val="40000"/>
                </a:schemeClr>
              </a:solidFill>
              <a:ln w="9525">
                <a:solidFill>
                  <a:schemeClr val="accent4">
                    <a:lumMod val="60000"/>
                    <a:lumOff val="40000"/>
                  </a:schemeClr>
                </a:solidFill>
              </a:ln>
              <a:effectLst/>
            </c:spPr>
          </c:marker>
          <c:cat>
            <c:numRef>
              <c:f>'Māori vs Non-Māori'!$P$40:$P$54</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'Māori vs Non-Māori'!$Q$40:$Q$54</c:f>
              <c:numCache>
                <c:formatCode>0.00</c:formatCode>
                <c:ptCount val="15"/>
                <c:pt idx="0">
                  <c:v>1.4963119072708115</c:v>
                </c:pt>
                <c:pt idx="1">
                  <c:v>1.5297560975609756</c:v>
                </c:pt>
                <c:pt idx="2">
                  <c:v>1.486815415821501</c:v>
                </c:pt>
                <c:pt idx="3">
                  <c:v>1.4501452081316555</c:v>
                </c:pt>
                <c:pt idx="4">
                  <c:v>1.4035414725069895</c:v>
                </c:pt>
                <c:pt idx="5">
                  <c:v>1.2402044293015333</c:v>
                </c:pt>
                <c:pt idx="6">
                  <c:v>1.4173387096774195</c:v>
                </c:pt>
                <c:pt idx="7">
                  <c:v>1.4966248794599806</c:v>
                </c:pt>
                <c:pt idx="8">
                  <c:v>1.2795918367346937</c:v>
                </c:pt>
                <c:pt idx="9">
                  <c:v>1.2946145723336855</c:v>
                </c:pt>
                <c:pt idx="10">
                  <c:v>1.4328018223234622</c:v>
                </c:pt>
                <c:pt idx="11">
                  <c:v>1.3006263048016702</c:v>
                </c:pt>
                <c:pt idx="12">
                  <c:v>1.2537313432835819</c:v>
                </c:pt>
                <c:pt idx="13">
                  <c:v>1.2083333333333333</c:v>
                </c:pt>
                <c:pt idx="14">
                  <c:v>1.2257383966244724</c:v>
                </c:pt>
              </c:numCache>
            </c:numRef>
          </c:val>
          <c:smooth val="0"/>
          <c:extLst>
            <c:ext xmlns:c16="http://schemas.microsoft.com/office/drawing/2014/chart" uri="{C3380CC4-5D6E-409C-BE32-E72D297353CC}">
              <c16:uniqueId val="{00000000-5431-4234-99BA-DE2AE7A6B836}"/>
            </c:ext>
          </c:extLst>
        </c:ser>
        <c:ser>
          <c:idx val="1"/>
          <c:order val="1"/>
          <c:tx>
            <c:strRef>
              <c:f>'Māori vs Non-Māori'!$AD$39</c:f>
              <c:strCache>
                <c:ptCount val="1"/>
                <c:pt idx="0">
                  <c:v>Reference</c:v>
                </c:pt>
              </c:strCache>
            </c:strRef>
          </c:tx>
          <c:spPr>
            <a:ln w="28575" cap="rnd">
              <a:solidFill>
                <a:schemeClr val="tx1"/>
              </a:solidFill>
              <a:round/>
            </a:ln>
            <a:effectLst/>
          </c:spPr>
          <c:marker>
            <c:symbol val="none"/>
          </c:marker>
          <c:cat>
            <c:numRef>
              <c:f>'Māori vs Non-Māori'!$P$40:$P$54</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'Māori vs Non-Māori'!$AD$40:$AD$55</c:f>
              <c:numCache>
                <c:formatCode>General</c:formatCode>
                <c:ptCount val="1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numCache>
            </c:numRef>
          </c:val>
          <c:smooth val="0"/>
          <c:extLst>
            <c:ext xmlns:c16="http://schemas.microsoft.com/office/drawing/2014/chart" uri="{C3380CC4-5D6E-409C-BE32-E72D297353CC}">
              <c16:uniqueId val="{00000001-5431-4234-99BA-DE2AE7A6B836}"/>
            </c:ext>
          </c:extLst>
        </c:ser>
        <c:dLbls>
          <c:showLegendKey val="0"/>
          <c:showVal val="0"/>
          <c:showCatName val="0"/>
          <c:showSerName val="0"/>
          <c:showPercent val="0"/>
          <c:showBubbleSize val="0"/>
        </c:dLbls>
        <c:marker val="1"/>
        <c:smooth val="0"/>
        <c:axId val="299503720"/>
        <c:axId val="299500976"/>
      </c:lineChart>
      <c:catAx>
        <c:axId val="299503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9500976"/>
        <c:crosses val="autoZero"/>
        <c:auto val="1"/>
        <c:lblAlgn val="ctr"/>
        <c:lblOffset val="100"/>
        <c:noMultiLvlLbl val="0"/>
      </c:catAx>
      <c:valAx>
        <c:axId val="29950097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9503720"/>
        <c:crosses val="autoZero"/>
        <c:crossBetween val="between"/>
      </c:valAx>
      <c:spPr>
        <a:noFill/>
        <a:ln>
          <a:noFill/>
        </a:ln>
        <a:effectLst/>
      </c:spPr>
    </c:plotArea>
    <c:legend>
      <c:legendPos val="r"/>
      <c:layout>
        <c:manualLayout>
          <c:xMode val="edge"/>
          <c:yMode val="edge"/>
          <c:x val="0.77991905314506305"/>
          <c:y val="0.18176065213877388"/>
          <c:w val="0.18793209083285956"/>
          <c:h val="0.113208324573423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'Flouridated and non Flouridated'!$AM$33</c:f>
          <c:strCache>
            <c:ptCount val="1"/>
            <c:pt idx="0">
              <c:v>Fluoridated and non-Fluoridated mean dmft at 5 Years of Age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7064081612439952E-2"/>
          <c:y val="0.11394774509289281"/>
          <c:w val="0.95140552006470891"/>
          <c:h val="0.69320543967356352"/>
        </c:manualLayout>
      </c:layout>
      <c:lineChart>
        <c:grouping val="standard"/>
        <c:varyColors val="0"/>
        <c:ser>
          <c:idx val="0"/>
          <c:order val="0"/>
          <c:tx>
            <c:strRef>
              <c:f>'Flouridated and non Flouridated'!$AO$35</c:f>
              <c:strCache>
                <c:ptCount val="1"/>
                <c:pt idx="0">
                  <c:v>Māori</c:v>
                </c:pt>
              </c:strCache>
            </c:strRef>
          </c:tx>
          <c:spPr>
            <a:ln w="28575" cap="rnd">
              <a:solidFill>
                <a:schemeClr val="accent1"/>
              </a:solidFill>
              <a:round/>
            </a:ln>
            <a:effectLst/>
          </c:spPr>
          <c:marker>
            <c:symbol val="square"/>
            <c:size val="5"/>
            <c:spPr>
              <a:solidFill>
                <a:schemeClr val="accent1"/>
              </a:solidFill>
              <a:ln w="9525">
                <a:solidFill>
                  <a:schemeClr val="accent1"/>
                </a:solidFill>
              </a:ln>
              <a:effectLst/>
            </c:spPr>
          </c:marker>
          <c:cat>
            <c:multiLvlStrRef>
              <c:f>'Flouridated and non Flouridated'!$AM$36:$AN$66</c:f>
              <c:multiLvlStrCache>
                <c:ptCount val="31"/>
                <c:lvl>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lvl>
                <c:lvl>
                  <c:pt idx="0">
                    <c:v>Fluoridated</c:v>
                  </c:pt>
                  <c:pt idx="16">
                    <c:v>Not Fluoridated</c:v>
                  </c:pt>
                </c:lvl>
              </c:multiLvlStrCache>
            </c:multiLvlStrRef>
          </c:cat>
          <c:val>
            <c:numRef>
              <c:f>'Flouridated and non Flouridated'!$AO$36:$AO$66</c:f>
              <c:numCache>
                <c:formatCode>0.00</c:formatCode>
                <c:ptCount val="31"/>
                <c:pt idx="0">
                  <c:v>2.74</c:v>
                </c:pt>
                <c:pt idx="1">
                  <c:v>2.95</c:v>
                </c:pt>
                <c:pt idx="2">
                  <c:v>2.94</c:v>
                </c:pt>
                <c:pt idx="3">
                  <c:v>2.89</c:v>
                </c:pt>
                <c:pt idx="4">
                  <c:v>2.97</c:v>
                </c:pt>
                <c:pt idx="5">
                  <c:v>3.05</c:v>
                </c:pt>
                <c:pt idx="6">
                  <c:v>2.88</c:v>
                </c:pt>
                <c:pt idx="7">
                  <c:v>3.74</c:v>
                </c:pt>
                <c:pt idx="8">
                  <c:v>2.62</c:v>
                </c:pt>
                <c:pt idx="9">
                  <c:v>2.66</c:v>
                </c:pt>
                <c:pt idx="10">
                  <c:v>2.57</c:v>
                </c:pt>
                <c:pt idx="11">
                  <c:v>2.5099999999999998</c:v>
                </c:pt>
                <c:pt idx="12">
                  <c:v>2.44</c:v>
                </c:pt>
                <c:pt idx="13">
                  <c:v>2.4500000000000002</c:v>
                </c:pt>
                <c:pt idx="14">
                  <c:v>2.5299999999999998</c:v>
                </c:pt>
                <c:pt idx="16">
                  <c:v>4.3600000000000003</c:v>
                </c:pt>
                <c:pt idx="17">
                  <c:v>4.8899999999999997</c:v>
                </c:pt>
                <c:pt idx="18">
                  <c:v>4.3899999999999997</c:v>
                </c:pt>
                <c:pt idx="19">
                  <c:v>4.5999999999999996</c:v>
                </c:pt>
                <c:pt idx="20">
                  <c:v>4.5599999999999996</c:v>
                </c:pt>
                <c:pt idx="21">
                  <c:v>4.2300000000000004</c:v>
                </c:pt>
                <c:pt idx="22">
                  <c:v>4.1500000000000004</c:v>
                </c:pt>
                <c:pt idx="23">
                  <c:v>4.0199999999999996</c:v>
                </c:pt>
                <c:pt idx="24">
                  <c:v>3.65</c:v>
                </c:pt>
                <c:pt idx="25">
                  <c:v>3.47</c:v>
                </c:pt>
                <c:pt idx="26">
                  <c:v>3.72</c:v>
                </c:pt>
                <c:pt idx="27">
                  <c:v>3.72</c:v>
                </c:pt>
                <c:pt idx="28">
                  <c:v>3.44</c:v>
                </c:pt>
                <c:pt idx="29">
                  <c:v>3.35</c:v>
                </c:pt>
                <c:pt idx="30">
                  <c:v>3.28</c:v>
                </c:pt>
              </c:numCache>
            </c:numRef>
          </c:val>
          <c:smooth val="0"/>
          <c:extLst>
            <c:ext xmlns:c16="http://schemas.microsoft.com/office/drawing/2014/chart" uri="{C3380CC4-5D6E-409C-BE32-E72D297353CC}">
              <c16:uniqueId val="{00000000-086D-4218-8DBE-9F14192C933E}"/>
            </c:ext>
          </c:extLst>
        </c:ser>
        <c:ser>
          <c:idx val="1"/>
          <c:order val="1"/>
          <c:tx>
            <c:strRef>
              <c:f>'Flouridated and non Flouridated'!$AP$35</c:f>
              <c:strCache>
                <c:ptCount val="1"/>
                <c:pt idx="0">
                  <c:v>Non-Māori</c:v>
                </c:pt>
              </c:strCache>
            </c:strRef>
          </c:tx>
          <c:spPr>
            <a:ln w="28575" cap="rnd">
              <a:solidFill>
                <a:schemeClr val="bg1">
                  <a:lumMod val="50000"/>
                </a:schemeClr>
              </a:solidFill>
              <a:round/>
            </a:ln>
            <a:effectLst/>
          </c:spPr>
          <c:marker>
            <c:symbol val="square"/>
            <c:size val="5"/>
            <c:spPr>
              <a:solidFill>
                <a:schemeClr val="bg1">
                  <a:lumMod val="50000"/>
                </a:schemeClr>
              </a:solidFill>
              <a:ln w="9525">
                <a:solidFill>
                  <a:schemeClr val="bg1">
                    <a:lumMod val="50000"/>
                  </a:schemeClr>
                </a:solidFill>
              </a:ln>
              <a:effectLst/>
            </c:spPr>
          </c:marker>
          <c:cat>
            <c:multiLvlStrRef>
              <c:f>'Flouridated and non Flouridated'!$AM$36:$AN$66</c:f>
              <c:multiLvlStrCache>
                <c:ptCount val="31"/>
                <c:lvl>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lvl>
                <c:lvl>
                  <c:pt idx="0">
                    <c:v>Fluoridated</c:v>
                  </c:pt>
                  <c:pt idx="16">
                    <c:v>Not Fluoridated</c:v>
                  </c:pt>
                </c:lvl>
              </c:multiLvlStrCache>
            </c:multiLvlStrRef>
          </c:cat>
          <c:val>
            <c:numRef>
              <c:f>'Flouridated and non Flouridated'!$AP$36:$AP$66</c:f>
              <c:numCache>
                <c:formatCode>0.00</c:formatCode>
                <c:ptCount val="31"/>
                <c:pt idx="0">
                  <c:v>1.7999999999999998</c:v>
                </c:pt>
                <c:pt idx="1">
                  <c:v>1.9949999999999999</c:v>
                </c:pt>
                <c:pt idx="2">
                  <c:v>1.96</c:v>
                </c:pt>
                <c:pt idx="3">
                  <c:v>2.16</c:v>
                </c:pt>
                <c:pt idx="4">
                  <c:v>2.2999999999999998</c:v>
                </c:pt>
                <c:pt idx="5">
                  <c:v>2.46</c:v>
                </c:pt>
                <c:pt idx="6">
                  <c:v>2.15</c:v>
                </c:pt>
                <c:pt idx="7">
                  <c:v>2.335</c:v>
                </c:pt>
                <c:pt idx="8">
                  <c:v>2.3199999999999998</c:v>
                </c:pt>
                <c:pt idx="9">
                  <c:v>2.2400000000000002</c:v>
                </c:pt>
                <c:pt idx="10">
                  <c:v>2.1150000000000002</c:v>
                </c:pt>
                <c:pt idx="11">
                  <c:v>2.1150000000000002</c:v>
                </c:pt>
                <c:pt idx="12">
                  <c:v>2.16</c:v>
                </c:pt>
                <c:pt idx="13">
                  <c:v>2.37</c:v>
                </c:pt>
                <c:pt idx="14">
                  <c:v>2.2850000000000001</c:v>
                </c:pt>
                <c:pt idx="16">
                  <c:v>2.9450000000000003</c:v>
                </c:pt>
                <c:pt idx="17">
                  <c:v>3.13</c:v>
                </c:pt>
                <c:pt idx="18">
                  <c:v>2.97</c:v>
                </c:pt>
                <c:pt idx="19">
                  <c:v>3.0049999999999999</c:v>
                </c:pt>
                <c:pt idx="20">
                  <c:v>3.0649999999999999</c:v>
                </c:pt>
                <c:pt idx="21">
                  <c:v>3.41</c:v>
                </c:pt>
                <c:pt idx="22">
                  <c:v>2.81</c:v>
                </c:pt>
                <c:pt idx="23">
                  <c:v>2.85</c:v>
                </c:pt>
                <c:pt idx="24">
                  <c:v>2.58</c:v>
                </c:pt>
                <c:pt idx="25">
                  <c:v>2.4950000000000001</c:v>
                </c:pt>
                <c:pt idx="26">
                  <c:v>2.2749999999999999</c:v>
                </c:pt>
                <c:pt idx="27">
                  <c:v>2.6749999999999998</c:v>
                </c:pt>
                <c:pt idx="28">
                  <c:v>2.5300000000000002</c:v>
                </c:pt>
                <c:pt idx="29">
                  <c:v>2.4300000000000002</c:v>
                </c:pt>
                <c:pt idx="30">
                  <c:v>2.4550000000000001</c:v>
                </c:pt>
              </c:numCache>
            </c:numRef>
          </c:val>
          <c:smooth val="0"/>
          <c:extLst>
            <c:ext xmlns:c16="http://schemas.microsoft.com/office/drawing/2014/chart" uri="{C3380CC4-5D6E-409C-BE32-E72D297353CC}">
              <c16:uniqueId val="{00000001-086D-4218-8DBE-9F14192C933E}"/>
            </c:ext>
          </c:extLst>
        </c:ser>
        <c:dLbls>
          <c:showLegendKey val="0"/>
          <c:showVal val="0"/>
          <c:showCatName val="0"/>
          <c:showSerName val="0"/>
          <c:showPercent val="0"/>
          <c:showBubbleSize val="0"/>
        </c:dLbls>
        <c:marker val="1"/>
        <c:smooth val="0"/>
        <c:axId val="299501368"/>
        <c:axId val="299504504"/>
      </c:lineChart>
      <c:catAx>
        <c:axId val="299501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9504504"/>
        <c:crosses val="autoZero"/>
        <c:auto val="1"/>
        <c:lblAlgn val="ctr"/>
        <c:lblOffset val="100"/>
        <c:noMultiLvlLbl val="0"/>
      </c:catAx>
      <c:valAx>
        <c:axId val="29950450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9501368"/>
        <c:crosses val="autoZero"/>
        <c:crossBetween val="between"/>
      </c:valAx>
      <c:spPr>
        <a:noFill/>
        <a:ln>
          <a:noFill/>
        </a:ln>
        <a:effectLst/>
      </c:spPr>
    </c:plotArea>
    <c:legend>
      <c:legendPos val="b"/>
      <c:layout>
        <c:manualLayout>
          <c:xMode val="edge"/>
          <c:yMode val="edge"/>
          <c:x val="0.8469914491820596"/>
          <c:y val="4.5231888801185983E-2"/>
          <c:w val="0.13830221693986364"/>
          <c:h val="5.184366828896349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47624</xdr:colOff>
      <xdr:row>7</xdr:row>
      <xdr:rowOff>95250</xdr:rowOff>
    </xdr:from>
    <xdr:to>
      <xdr:col>10</xdr:col>
      <xdr:colOff>323849</xdr:colOff>
      <xdr:row>31</xdr:row>
      <xdr:rowOff>0</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542925</xdr:colOff>
      <xdr:row>7</xdr:row>
      <xdr:rowOff>109537</xdr:rowOff>
    </xdr:from>
    <xdr:to>
      <xdr:col>24</xdr:col>
      <xdr:colOff>123825</xdr:colOff>
      <xdr:row>31</xdr:row>
      <xdr:rowOff>66675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0.01405</cdr:x>
      <cdr:y>0.12102</cdr:y>
    </cdr:from>
    <cdr:to>
      <cdr:x>0.37147</cdr:x>
      <cdr:y>0.20626</cdr:y>
    </cdr:to>
    <cdr:sp macro="" textlink="ref!$C$9">
      <cdr:nvSpPr>
        <cdr:cNvPr id="2" name="TextBox 1"/>
        <cdr:cNvSpPr txBox="1"/>
      </cdr:nvSpPr>
      <cdr:spPr>
        <a:xfrm xmlns:a="http://schemas.openxmlformats.org/drawingml/2006/main">
          <a:off x="106691" y="463389"/>
          <a:ext cx="2713327" cy="3263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93FEA4A-B150-401E-AC56-92338C026DAF}" type="TxLink">
            <a:rPr lang="en-US" sz="900" b="0" i="0" u="none" strike="noStrike">
              <a:solidFill>
                <a:srgbClr val="000000"/>
              </a:solidFill>
              <a:latin typeface="+mn-lt"/>
              <a:cs typeface="Arial"/>
            </a:rPr>
            <a:pPr/>
            <a:t>Mean Number</a:t>
          </a:fld>
          <a:endParaRPr lang="en-NZ" sz="800" baseline="0">
            <a:latin typeface="+mn-lt"/>
          </a:endParaRPr>
        </a:p>
      </cdr:txBody>
    </cdr:sp>
  </cdr:relSizeAnchor>
  <cdr:relSizeAnchor xmlns:cdr="http://schemas.openxmlformats.org/drawingml/2006/chartDrawing">
    <cdr:from>
      <cdr:x>0</cdr:x>
      <cdr:y>0.84729</cdr:y>
    </cdr:from>
    <cdr:to>
      <cdr:x>1</cdr:x>
      <cdr:y>0.99</cdr:y>
    </cdr:to>
    <cdr:sp macro="" textlink="">
      <cdr:nvSpPr>
        <cdr:cNvPr id="3" name="TextBox 2"/>
        <cdr:cNvSpPr txBox="1"/>
      </cdr:nvSpPr>
      <cdr:spPr>
        <a:xfrm xmlns:a="http://schemas.openxmlformats.org/drawingml/2006/main">
          <a:off x="0" y="2421141"/>
          <a:ext cx="4572000" cy="4077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a:t>
          </a:r>
          <a:r>
            <a:rPr lang="en-NZ" sz="900" baseline="0">
              <a:effectLst/>
              <a:latin typeface="+mn-lt"/>
              <a:ea typeface="+mn-ea"/>
              <a:cs typeface="+mn-cs"/>
            </a:rPr>
            <a:t> If the confidence intervals of two rates do not overlap, the difference in rates is said to be significant.</a:t>
          </a:r>
          <a:endParaRPr lang="en-NZ" sz="900">
            <a:effectLst/>
            <a:latin typeface="+mn-lt"/>
            <a:ea typeface="+mn-ea"/>
            <a:cs typeface="+mn-cs"/>
          </a:endParaRPr>
        </a:p>
        <a:p xmlns:a="http://schemas.openxmlformats.org/drawingml/2006/main">
          <a:pPr eaLnBrk="1" fontAlgn="auto" latinLnBrk="0" hangingPunct="1"/>
          <a:r>
            <a:rPr lang="en-NZ" sz="900">
              <a:effectLst/>
              <a:latin typeface="+mn-lt"/>
              <a:ea typeface="+mn-ea"/>
              <a:cs typeface="+mn-cs"/>
            </a:rPr>
            <a:t>Source:</a:t>
          </a:r>
          <a:r>
            <a:rPr lang="en-NZ" sz="900" baseline="0">
              <a:effectLst/>
              <a:latin typeface="+mn-lt"/>
              <a:ea typeface="+mn-ea"/>
              <a:cs typeface="+mn-cs"/>
            </a:rPr>
            <a:t> Community Oral Health Services 2002-2016.</a:t>
          </a:r>
          <a:endParaRPr lang="en-NZ" sz="900">
            <a:effectLst/>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0.02157</cdr:x>
      <cdr:y>0.12956</cdr:y>
    </cdr:from>
    <cdr:to>
      <cdr:x>0.17386</cdr:x>
      <cdr:y>0.19497</cdr:y>
    </cdr:to>
    <cdr:sp macro="" textlink="">
      <cdr:nvSpPr>
        <cdr:cNvPr id="2" name="TextBox 1"/>
        <cdr:cNvSpPr txBox="1"/>
      </cdr:nvSpPr>
      <cdr:spPr>
        <a:xfrm xmlns:a="http://schemas.openxmlformats.org/drawingml/2006/main">
          <a:off x="161925" y="490538"/>
          <a:ext cx="114300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0.0203</cdr:x>
      <cdr:y>0.13208</cdr:y>
    </cdr:from>
    <cdr:to>
      <cdr:x>0.19797</cdr:x>
      <cdr:y>0.20252</cdr:y>
    </cdr:to>
    <cdr:sp macro="" textlink="">
      <cdr:nvSpPr>
        <cdr:cNvPr id="3" name="TextBox 2"/>
        <cdr:cNvSpPr txBox="1"/>
      </cdr:nvSpPr>
      <cdr:spPr>
        <a:xfrm xmlns:a="http://schemas.openxmlformats.org/drawingml/2006/main">
          <a:off x="152400" y="500063"/>
          <a:ext cx="1333500"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t>Rate Ratio</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161925</xdr:colOff>
      <xdr:row>7</xdr:row>
      <xdr:rowOff>19049</xdr:rowOff>
    </xdr:from>
    <xdr:to>
      <xdr:col>18</xdr:col>
      <xdr:colOff>85725</xdr:colOff>
      <xdr:row>32</xdr:row>
      <xdr:rowOff>104775</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0.00236</cdr:x>
      <cdr:y>0.91935</cdr:y>
    </cdr:from>
    <cdr:to>
      <cdr:x>1</cdr:x>
      <cdr:y>0.99539</cdr:y>
    </cdr:to>
    <cdr:sp macro="" textlink="">
      <cdr:nvSpPr>
        <cdr:cNvPr id="2" name="TextBox 1"/>
        <cdr:cNvSpPr txBox="1"/>
      </cdr:nvSpPr>
      <cdr:spPr>
        <a:xfrm xmlns:a="http://schemas.openxmlformats.org/drawingml/2006/main">
          <a:off x="28575" y="3800476"/>
          <a:ext cx="12087225"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1100"/>
            <a:t>Source: Community</a:t>
          </a:r>
          <a:r>
            <a:rPr lang="en-NZ" sz="1100" baseline="0"/>
            <a:t> Oral Health Services 2002 - 2016.</a:t>
          </a:r>
          <a:endParaRPr lang="en-NZ" sz="1100"/>
        </a:p>
      </cdr:txBody>
    </cdr:sp>
  </cdr:relSizeAnchor>
  <cdr:relSizeAnchor xmlns:cdr="http://schemas.openxmlformats.org/drawingml/2006/chartDrawing">
    <cdr:from>
      <cdr:x>0.02036</cdr:x>
      <cdr:y>0.0553</cdr:y>
    </cdr:from>
    <cdr:to>
      <cdr:x>0.3007</cdr:x>
      <cdr:y>0.1083</cdr:y>
    </cdr:to>
    <cdr:sp macro="" textlink="">
      <cdr:nvSpPr>
        <cdr:cNvPr id="3" name="TextBox 2"/>
        <cdr:cNvSpPr txBox="1"/>
      </cdr:nvSpPr>
      <cdr:spPr>
        <a:xfrm xmlns:a="http://schemas.openxmlformats.org/drawingml/2006/main">
          <a:off x="247650" y="228601"/>
          <a:ext cx="34099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7"/>
  <sheetViews>
    <sheetView tabSelected="1" workbookViewId="0">
      <selection activeCell="J1" sqref="A1:XFD1048576"/>
    </sheetView>
  </sheetViews>
  <sheetFormatPr defaultColWidth="8.88671875" defaultRowHeight="13.2" x14ac:dyDescent="0.25"/>
  <cols>
    <col min="1" max="16384" width="8.88671875" style="7"/>
  </cols>
  <sheetData>
    <row r="1" spans="1:10" ht="37.799999999999997" x14ac:dyDescent="0.25">
      <c r="A1" s="6" t="s">
        <v>38</v>
      </c>
    </row>
    <row r="2" spans="1:10" ht="18" x14ac:dyDescent="0.25">
      <c r="A2" s="8"/>
    </row>
    <row r="3" spans="1:10" ht="14.25" customHeight="1" x14ac:dyDescent="0.25">
      <c r="A3" s="61" t="s">
        <v>39</v>
      </c>
      <c r="B3" s="61"/>
      <c r="C3" s="61"/>
      <c r="D3" s="61"/>
      <c r="E3" s="61"/>
      <c r="F3" s="61"/>
      <c r="G3" s="61"/>
      <c r="H3" s="61"/>
      <c r="I3" s="61"/>
      <c r="J3" s="61"/>
    </row>
    <row r="4" spans="1:10" ht="14.25" customHeight="1" x14ac:dyDescent="0.25">
      <c r="A4" s="61"/>
      <c r="B4" s="61"/>
      <c r="C4" s="61"/>
      <c r="D4" s="61"/>
      <c r="E4" s="61"/>
      <c r="F4" s="61"/>
      <c r="G4" s="61"/>
      <c r="H4" s="61"/>
      <c r="I4" s="61"/>
      <c r="J4" s="61"/>
    </row>
    <row r="5" spans="1:10" ht="14.25" customHeight="1" x14ac:dyDescent="0.25">
      <c r="A5" s="8" t="s">
        <v>40</v>
      </c>
    </row>
    <row r="6" spans="1:10" ht="14.25" customHeight="1" x14ac:dyDescent="0.25">
      <c r="A6" s="61" t="s">
        <v>44</v>
      </c>
      <c r="B6" s="61"/>
      <c r="C6" s="61"/>
      <c r="D6" s="61"/>
      <c r="E6" s="61"/>
      <c r="F6" s="61"/>
      <c r="G6" s="61"/>
      <c r="H6" s="61"/>
      <c r="I6" s="61"/>
      <c r="J6" s="61"/>
    </row>
    <row r="7" spans="1:10" ht="14.25" customHeight="1" x14ac:dyDescent="0.25">
      <c r="A7" s="61"/>
      <c r="B7" s="61"/>
      <c r="C7" s="61"/>
      <c r="D7" s="61"/>
      <c r="E7" s="61"/>
      <c r="F7" s="61"/>
      <c r="G7" s="61"/>
      <c r="H7" s="61"/>
      <c r="I7" s="61"/>
      <c r="J7" s="61"/>
    </row>
    <row r="8" spans="1:10" ht="14.25" customHeight="1" x14ac:dyDescent="0.25">
      <c r="A8" s="61"/>
      <c r="B8" s="61"/>
      <c r="C8" s="61"/>
      <c r="D8" s="61"/>
      <c r="E8" s="61"/>
      <c r="F8" s="61"/>
      <c r="G8" s="61"/>
      <c r="H8" s="61"/>
      <c r="I8" s="61"/>
      <c r="J8" s="61"/>
    </row>
    <row r="9" spans="1:10" ht="14.25" customHeight="1" x14ac:dyDescent="0.25">
      <c r="A9" s="61"/>
      <c r="B9" s="61"/>
      <c r="C9" s="61"/>
      <c r="D9" s="61"/>
      <c r="E9" s="61"/>
      <c r="F9" s="61"/>
      <c r="G9" s="61"/>
      <c r="H9" s="61"/>
      <c r="I9" s="61"/>
      <c r="J9" s="61"/>
    </row>
    <row r="10" spans="1:10" ht="14.25" customHeight="1" x14ac:dyDescent="0.25">
      <c r="A10" s="61"/>
      <c r="B10" s="61"/>
      <c r="C10" s="61"/>
      <c r="D10" s="61"/>
      <c r="E10" s="61"/>
      <c r="F10" s="61"/>
      <c r="G10" s="61"/>
      <c r="H10" s="61"/>
      <c r="I10" s="61"/>
      <c r="J10" s="61"/>
    </row>
    <row r="11" spans="1:10" ht="14.25" customHeight="1" x14ac:dyDescent="0.25">
      <c r="A11" s="61"/>
      <c r="B11" s="61"/>
      <c r="C11" s="61"/>
      <c r="D11" s="61"/>
      <c r="E11" s="61"/>
      <c r="F11" s="61"/>
      <c r="G11" s="61"/>
      <c r="H11" s="61"/>
      <c r="I11" s="61"/>
      <c r="J11" s="61"/>
    </row>
    <row r="12" spans="1:10" x14ac:dyDescent="0.25">
      <c r="A12" s="61"/>
      <c r="B12" s="61"/>
      <c r="C12" s="61"/>
      <c r="D12" s="61"/>
      <c r="E12" s="61"/>
      <c r="F12" s="61"/>
      <c r="G12" s="61"/>
      <c r="H12" s="61"/>
      <c r="I12" s="61"/>
      <c r="J12" s="61"/>
    </row>
    <row r="13" spans="1:10" ht="12.75" customHeight="1" x14ac:dyDescent="0.25">
      <c r="A13" s="9"/>
      <c r="B13" s="9"/>
      <c r="C13" s="9"/>
      <c r="D13" s="9"/>
      <c r="E13" s="9"/>
      <c r="F13" s="9"/>
      <c r="G13" s="9"/>
      <c r="H13" s="9"/>
      <c r="I13" s="9"/>
      <c r="J13" s="9"/>
    </row>
    <row r="14" spans="1:10" ht="13.95" customHeight="1" x14ac:dyDescent="0.25">
      <c r="A14" s="8" t="s">
        <v>41</v>
      </c>
    </row>
    <row r="15" spans="1:10" x14ac:dyDescent="0.25">
      <c r="A15" s="61" t="s">
        <v>42</v>
      </c>
      <c r="B15" s="61"/>
      <c r="C15" s="61"/>
      <c r="D15" s="61"/>
      <c r="E15" s="61"/>
      <c r="F15" s="61"/>
      <c r="G15" s="61"/>
      <c r="H15" s="61"/>
      <c r="I15" s="61"/>
      <c r="J15" s="61"/>
    </row>
    <row r="16" spans="1:10" x14ac:dyDescent="0.25">
      <c r="A16" s="61"/>
      <c r="B16" s="61"/>
      <c r="C16" s="61"/>
      <c r="D16" s="61"/>
      <c r="E16" s="61"/>
      <c r="F16" s="61"/>
      <c r="G16" s="61"/>
      <c r="H16" s="61"/>
      <c r="I16" s="61"/>
      <c r="J16" s="61"/>
    </row>
    <row r="17" spans="1:10" ht="14.25" customHeight="1" x14ac:dyDescent="0.25">
      <c r="A17" s="61"/>
      <c r="B17" s="61"/>
      <c r="C17" s="61"/>
      <c r="D17" s="61"/>
      <c r="E17" s="61"/>
      <c r="F17" s="61"/>
      <c r="G17" s="61"/>
      <c r="H17" s="61"/>
      <c r="I17" s="61"/>
      <c r="J17" s="61"/>
    </row>
    <row r="18" spans="1:10" ht="14.25" customHeight="1" x14ac:dyDescent="0.25">
      <c r="A18" s="61"/>
      <c r="B18" s="61"/>
      <c r="C18" s="61"/>
      <c r="D18" s="61"/>
      <c r="E18" s="61"/>
      <c r="F18" s="61"/>
      <c r="G18" s="61"/>
      <c r="H18" s="61"/>
      <c r="I18" s="61"/>
      <c r="J18" s="61"/>
    </row>
    <row r="19" spans="1:10" ht="21" customHeight="1" x14ac:dyDescent="0.25">
      <c r="A19" s="61"/>
      <c r="B19" s="61"/>
      <c r="C19" s="61"/>
      <c r="D19" s="61"/>
      <c r="E19" s="61"/>
      <c r="F19" s="61"/>
      <c r="G19" s="61"/>
      <c r="H19" s="61"/>
      <c r="I19" s="61"/>
      <c r="J19" s="61"/>
    </row>
    <row r="20" spans="1:10" ht="14.25" customHeight="1" x14ac:dyDescent="0.25">
      <c r="A20" s="10"/>
      <c r="B20" s="10"/>
      <c r="C20" s="10"/>
      <c r="D20" s="10"/>
      <c r="E20" s="10"/>
      <c r="F20" s="10"/>
      <c r="G20" s="10"/>
      <c r="H20" s="10"/>
      <c r="I20" s="10"/>
      <c r="J20" s="10"/>
    </row>
    <row r="21" spans="1:10" ht="14.25" customHeight="1" x14ac:dyDescent="0.25">
      <c r="A21" s="8" t="s">
        <v>43</v>
      </c>
    </row>
    <row r="22" spans="1:10" ht="14.25" customHeight="1" x14ac:dyDescent="0.25">
      <c r="A22" s="61" t="s">
        <v>45</v>
      </c>
      <c r="B22" s="61"/>
      <c r="C22" s="61"/>
      <c r="D22" s="61"/>
      <c r="E22" s="61"/>
      <c r="F22" s="61"/>
      <c r="G22" s="61"/>
      <c r="H22" s="61"/>
      <c r="I22" s="61"/>
      <c r="J22" s="61"/>
    </row>
    <row r="23" spans="1:10" ht="14.25" customHeight="1" x14ac:dyDescent="0.25">
      <c r="A23" s="61"/>
      <c r="B23" s="61"/>
      <c r="C23" s="61"/>
      <c r="D23" s="61"/>
      <c r="E23" s="61"/>
      <c r="F23" s="61"/>
      <c r="G23" s="61"/>
      <c r="H23" s="61"/>
      <c r="I23" s="61"/>
      <c r="J23" s="61"/>
    </row>
    <row r="24" spans="1:10" ht="14.25" customHeight="1" x14ac:dyDescent="0.25">
      <c r="A24" s="61"/>
      <c r="B24" s="61"/>
      <c r="C24" s="61"/>
      <c r="D24" s="61"/>
      <c r="E24" s="61"/>
      <c r="F24" s="61"/>
      <c r="G24" s="61"/>
      <c r="H24" s="61"/>
      <c r="I24" s="61"/>
      <c r="J24" s="61"/>
    </row>
    <row r="25" spans="1:10" x14ac:dyDescent="0.25">
      <c r="A25" s="61"/>
      <c r="B25" s="61"/>
      <c r="C25" s="61"/>
      <c r="D25" s="61"/>
      <c r="E25" s="61"/>
      <c r="F25" s="61"/>
      <c r="G25" s="61"/>
      <c r="H25" s="61"/>
      <c r="I25" s="61"/>
      <c r="J25" s="61"/>
    </row>
    <row r="26" spans="1:10" ht="14.25" customHeight="1" x14ac:dyDescent="0.25">
      <c r="A26" s="61"/>
      <c r="B26" s="61"/>
      <c r="C26" s="61"/>
      <c r="D26" s="61"/>
      <c r="E26" s="61"/>
      <c r="F26" s="61"/>
      <c r="G26" s="61"/>
      <c r="H26" s="61"/>
      <c r="I26" s="61"/>
      <c r="J26" s="61"/>
    </row>
    <row r="27" spans="1:10" ht="14.25" customHeight="1" x14ac:dyDescent="0.25">
      <c r="A27" s="61"/>
      <c r="B27" s="61"/>
      <c r="C27" s="61"/>
      <c r="D27" s="61"/>
      <c r="E27" s="61"/>
      <c r="F27" s="61"/>
      <c r="G27" s="61"/>
      <c r="H27" s="61"/>
      <c r="I27" s="61"/>
      <c r="J27" s="61"/>
    </row>
    <row r="28" spans="1:10" ht="14.25" customHeight="1" x14ac:dyDescent="0.25">
      <c r="A28" s="61"/>
      <c r="B28" s="61"/>
      <c r="C28" s="61"/>
      <c r="D28" s="61"/>
      <c r="E28" s="61"/>
      <c r="F28" s="61"/>
      <c r="G28" s="61"/>
      <c r="H28" s="61"/>
      <c r="I28" s="61"/>
      <c r="J28" s="61"/>
    </row>
    <row r="29" spans="1:10" ht="14.25" customHeight="1" x14ac:dyDescent="0.25">
      <c r="A29" s="9"/>
      <c r="B29" s="9"/>
      <c r="C29" s="9"/>
      <c r="D29" s="9"/>
      <c r="E29" s="9"/>
      <c r="F29" s="9"/>
      <c r="G29" s="9"/>
      <c r="H29" s="9"/>
      <c r="I29" s="9"/>
      <c r="J29" s="9"/>
    </row>
    <row r="30" spans="1:10" ht="14.25" customHeight="1" x14ac:dyDescent="0.25"/>
    <row r="31" spans="1:10" ht="14.25" customHeight="1" x14ac:dyDescent="0.25"/>
    <row r="32" spans="1:10"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1" ht="34.200000000000003" customHeight="1" x14ac:dyDescent="0.25"/>
    <row r="63" ht="15.75" customHeight="1" x14ac:dyDescent="0.25"/>
    <row r="64" ht="15.75" customHeight="1" x14ac:dyDescent="0.25"/>
    <row r="65" ht="15.75" customHeight="1" x14ac:dyDescent="0.25"/>
    <row r="66" ht="14.25" customHeight="1" x14ac:dyDescent="0.25"/>
    <row r="67" ht="14.25" customHeight="1" x14ac:dyDescent="0.25"/>
    <row r="68" ht="14.25" customHeight="1" x14ac:dyDescent="0.25"/>
    <row r="70" ht="14.25" customHeight="1" x14ac:dyDescent="0.25"/>
    <row r="71" ht="14.25" customHeight="1" x14ac:dyDescent="0.25"/>
    <row r="72" ht="14.25" customHeight="1" x14ac:dyDescent="0.25"/>
    <row r="73" ht="14.25" customHeight="1" x14ac:dyDescent="0.25"/>
    <row r="74" ht="13.2" customHeight="1" x14ac:dyDescent="0.25"/>
    <row r="75" ht="13.2" customHeight="1" x14ac:dyDescent="0.25"/>
    <row r="76" ht="13.2" customHeight="1" x14ac:dyDescent="0.25"/>
    <row r="77" ht="13.2" customHeight="1" x14ac:dyDescent="0.25"/>
  </sheetData>
  <sheetProtection algorithmName="SHA-512" hashValue="XFrX+yPDroNQuAcjDB9vf+JtK6usRjXMC6OvS+qI3mpBComo57fbrH/pNGindRmeDeks2fMXG1V6K6R++I4sQw==" saltValue="AmEtf9SLsG5sWAP5Rtgp/g==" spinCount="100000" sheet="1" objects="1" scenarios="1" selectLockedCells="1" autoFilter="0" selectUnlockedCells="1"/>
  <mergeCells count="4">
    <mergeCell ref="A3:J4"/>
    <mergeCell ref="A6:J12"/>
    <mergeCell ref="A15:J19"/>
    <mergeCell ref="A22:J2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A83"/>
  <sheetViews>
    <sheetView zoomScaleNormal="100" workbookViewId="0">
      <pane ySplit="7" topLeftCell="A8" activePane="bottomLeft" state="frozen"/>
      <selection pane="bottomLeft" activeCell="G35" sqref="G35"/>
    </sheetView>
  </sheetViews>
  <sheetFormatPr defaultRowHeight="13.2" x14ac:dyDescent="0.25"/>
  <cols>
    <col min="1" max="1" width="21" style="7" customWidth="1"/>
    <col min="2" max="2" width="12.5546875" style="7" bestFit="1" customWidth="1"/>
    <col min="3" max="4" width="9.109375" style="7"/>
    <col min="5" max="5" width="11.109375" style="7" customWidth="1"/>
    <col min="6" max="7" width="9.109375" style="7"/>
    <col min="8" max="8" width="13.5546875" style="7" customWidth="1"/>
    <col min="9" max="76" width="9.109375" style="7"/>
    <col min="77" max="16384" width="8.88671875" style="12"/>
  </cols>
  <sheetData>
    <row r="1" spans="1:76" x14ac:dyDescent="0.25">
      <c r="A1" s="64" t="s">
        <v>9</v>
      </c>
      <c r="B1" s="64"/>
      <c r="C1" s="64"/>
      <c r="D1" s="64"/>
      <c r="E1" s="64"/>
      <c r="F1" s="64"/>
      <c r="G1" s="64"/>
      <c r="H1" s="11"/>
      <c r="I1" s="11"/>
      <c r="J1" s="11"/>
      <c r="K1" s="11"/>
      <c r="L1" s="11"/>
      <c r="M1" s="11"/>
      <c r="N1" s="11"/>
      <c r="O1" s="11"/>
      <c r="P1" s="11"/>
      <c r="Q1" s="11"/>
      <c r="R1" s="11"/>
      <c r="S1" s="11"/>
      <c r="T1" s="11"/>
      <c r="U1" s="11"/>
      <c r="V1" s="11"/>
      <c r="W1" s="11"/>
      <c r="X1" s="11"/>
      <c r="Y1" s="11"/>
      <c r="Z1" s="11"/>
      <c r="AA1" s="11"/>
      <c r="AB1" s="11"/>
      <c r="AC1" s="11"/>
    </row>
    <row r="2" spans="1:76" x14ac:dyDescent="0.25">
      <c r="A2" s="64"/>
      <c r="B2" s="64"/>
      <c r="C2" s="64"/>
      <c r="D2" s="64"/>
      <c r="E2" s="64"/>
      <c r="F2" s="64"/>
      <c r="G2" s="64"/>
      <c r="H2" s="11"/>
      <c r="I2" s="11"/>
      <c r="J2" s="11"/>
      <c r="K2" s="11"/>
      <c r="L2" s="11"/>
      <c r="M2" s="11"/>
      <c r="N2" s="11"/>
      <c r="O2" s="11"/>
      <c r="P2" s="11"/>
      <c r="Q2" s="11"/>
      <c r="R2" s="11"/>
      <c r="S2" s="11"/>
      <c r="T2" s="11"/>
      <c r="U2" s="11"/>
      <c r="V2" s="11"/>
      <c r="W2" s="11"/>
      <c r="X2" s="11"/>
      <c r="Y2" s="11"/>
      <c r="Z2" s="11"/>
      <c r="AA2" s="11"/>
      <c r="AB2" s="11"/>
      <c r="AC2" s="11"/>
    </row>
    <row r="3" spans="1:76" x14ac:dyDescent="0.2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76" x14ac:dyDescent="0.2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row>
    <row r="5" spans="1:76" ht="15" x14ac:dyDescent="0.25">
      <c r="A5" s="11"/>
      <c r="B5" s="11"/>
      <c r="C5" s="11"/>
      <c r="D5" s="65" t="s">
        <v>10</v>
      </c>
      <c r="E5" s="66"/>
      <c r="F5" s="67" t="s">
        <v>46</v>
      </c>
      <c r="G5" s="68"/>
      <c r="H5" s="68"/>
      <c r="I5" s="68"/>
      <c r="J5" s="68"/>
      <c r="K5" s="68"/>
      <c r="L5" s="68"/>
      <c r="M5" s="68"/>
      <c r="N5" s="69"/>
      <c r="O5" s="13" t="str">
        <f>HYPERLINK("#"&amp;ADDRESS(ROW(),COLUMN()-1),CHAR(128))</f>
        <v>€</v>
      </c>
      <c r="P5" s="11"/>
      <c r="Q5" s="11"/>
      <c r="R5" s="11"/>
      <c r="S5" s="11"/>
      <c r="T5" s="11"/>
      <c r="U5" s="11"/>
      <c r="V5" s="11"/>
      <c r="W5" s="11"/>
      <c r="X5" s="11"/>
      <c r="Y5" s="11"/>
      <c r="Z5" s="11"/>
      <c r="AA5" s="11"/>
      <c r="AB5" s="11"/>
      <c r="AC5" s="11"/>
    </row>
    <row r="6" spans="1:76" x14ac:dyDescent="0.2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76" x14ac:dyDescent="0.25">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76" x14ac:dyDescent="0.25">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row>
    <row r="9" spans="1:76" x14ac:dyDescent="0.25">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76" x14ac:dyDescent="0.2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row>
    <row r="11" spans="1:76" x14ac:dyDescent="0.2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row>
    <row r="12" spans="1:76" x14ac:dyDescent="0.25">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row>
    <row r="13" spans="1:76" x14ac:dyDescent="0.2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row>
    <row r="14" spans="1:76" x14ac:dyDescent="0.2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row>
    <row r="15" spans="1:76" x14ac:dyDescent="0.2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row>
    <row r="16" spans="1:76" x14ac:dyDescent="0.2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row>
    <row r="17" spans="1:79" x14ac:dyDescent="0.2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row>
    <row r="18" spans="1:79" x14ac:dyDescent="0.2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row>
    <row r="19" spans="1:79" x14ac:dyDescent="0.2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row>
    <row r="20" spans="1:79" x14ac:dyDescent="0.2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row>
    <row r="21" spans="1:79" x14ac:dyDescent="0.2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row>
    <row r="22" spans="1:79" x14ac:dyDescent="0.2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row>
    <row r="23" spans="1:79" x14ac:dyDescent="0.2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row>
    <row r="24" spans="1:79" x14ac:dyDescent="0.2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row>
    <row r="25" spans="1:79" x14ac:dyDescent="0.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row>
    <row r="26" spans="1:79" x14ac:dyDescent="0.2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row>
    <row r="27" spans="1:79" s="35" customFormat="1" x14ac:dyDescent="0.2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7"/>
      <c r="AE27" s="7"/>
      <c r="AF27" s="7"/>
      <c r="AG27" s="7"/>
      <c r="AH27" s="7"/>
      <c r="AI27" s="7"/>
      <c r="AJ27" s="7"/>
      <c r="AK27" s="7"/>
      <c r="AL27" s="7"/>
      <c r="AM27" s="7"/>
      <c r="AN27" s="7"/>
      <c r="AO27" s="7"/>
      <c r="AP27" s="7"/>
      <c r="AQ27" s="7"/>
      <c r="AR27" s="7"/>
      <c r="AS27" s="7"/>
      <c r="AT27" s="7"/>
      <c r="AU27" s="7"/>
      <c r="AV27" s="7"/>
      <c r="AW27" s="33"/>
      <c r="AX27" s="33"/>
      <c r="AY27" s="33"/>
      <c r="AZ27" s="33"/>
      <c r="BA27" s="34"/>
      <c r="BB27" s="34"/>
      <c r="BC27" s="34"/>
      <c r="BD27" s="34"/>
      <c r="BE27" s="34"/>
      <c r="BF27" s="34"/>
      <c r="BG27" s="34"/>
      <c r="BH27" s="34"/>
      <c r="BI27" s="34"/>
      <c r="BJ27" s="34"/>
      <c r="BK27" s="34"/>
      <c r="BL27" s="34"/>
      <c r="BM27" s="34"/>
      <c r="BN27" s="34"/>
      <c r="BO27" s="34"/>
      <c r="BP27" s="33"/>
      <c r="BQ27" s="33"/>
      <c r="BR27" s="33"/>
      <c r="BS27" s="33"/>
      <c r="BT27" s="33"/>
      <c r="BU27" s="33"/>
      <c r="BV27" s="33"/>
      <c r="BW27" s="33"/>
      <c r="BX27" s="33"/>
    </row>
    <row r="28" spans="1:79" s="35" customFormat="1" x14ac:dyDescent="0.2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7"/>
      <c r="AE28" s="7"/>
      <c r="AF28" s="7"/>
      <c r="AG28" s="7"/>
      <c r="AH28" s="7"/>
      <c r="AI28" s="7"/>
      <c r="AJ28" s="7"/>
      <c r="AK28" s="7"/>
      <c r="AL28" s="7"/>
      <c r="AM28" s="7"/>
      <c r="AN28" s="7"/>
      <c r="AO28" s="7"/>
      <c r="AP28" s="7"/>
      <c r="AQ28" s="7"/>
      <c r="AR28" s="7"/>
      <c r="AS28" s="7"/>
      <c r="AT28" s="7"/>
      <c r="AU28" s="7"/>
      <c r="AV28" s="7"/>
      <c r="AW28" s="33"/>
      <c r="AX28" s="33"/>
      <c r="AY28" s="33"/>
      <c r="AZ28" s="33"/>
      <c r="BA28" s="34"/>
      <c r="BB28" s="34"/>
      <c r="BC28" s="34"/>
      <c r="BD28" s="34"/>
      <c r="BE28" s="34"/>
      <c r="BF28" s="34"/>
      <c r="BG28" s="34"/>
      <c r="BH28" s="34"/>
      <c r="BI28" s="34"/>
      <c r="BJ28" s="34"/>
      <c r="BK28" s="34"/>
      <c r="BL28" s="34"/>
      <c r="BM28" s="34"/>
      <c r="BN28" s="34"/>
      <c r="BO28" s="34"/>
      <c r="BP28" s="33"/>
      <c r="BQ28" s="33"/>
      <c r="BR28" s="33"/>
      <c r="BS28" s="33"/>
      <c r="BT28" s="33"/>
      <c r="BU28" s="33"/>
      <c r="BV28" s="33"/>
      <c r="BW28" s="33"/>
      <c r="BX28" s="33"/>
    </row>
    <row r="29" spans="1:79" s="35" customFormat="1"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7"/>
      <c r="AE29" s="7"/>
      <c r="AF29" s="7"/>
      <c r="AG29" s="7"/>
      <c r="AH29" s="7"/>
      <c r="AI29" s="7"/>
      <c r="AJ29" s="7"/>
      <c r="AK29" s="7"/>
      <c r="AL29" s="7"/>
      <c r="AM29" s="7"/>
      <c r="AN29" s="7"/>
      <c r="AO29" s="7"/>
      <c r="AP29" s="7"/>
      <c r="AQ29" s="7"/>
      <c r="AR29" s="7"/>
      <c r="AS29" s="7"/>
      <c r="AT29" s="7"/>
      <c r="AU29" s="7"/>
      <c r="AV29" s="7"/>
      <c r="AW29" s="33"/>
      <c r="AX29" s="33"/>
      <c r="AY29" s="33"/>
      <c r="AZ29" s="33"/>
      <c r="BA29" s="34"/>
      <c r="BB29" s="34"/>
      <c r="BC29" s="34"/>
      <c r="BD29" s="34"/>
      <c r="BE29" s="34"/>
      <c r="BF29" s="34"/>
      <c r="BG29" s="34"/>
      <c r="BH29" s="34"/>
      <c r="BI29" s="34"/>
      <c r="BJ29" s="34"/>
      <c r="BK29" s="34"/>
      <c r="BL29" s="34"/>
      <c r="BM29" s="34"/>
      <c r="BN29" s="34"/>
      <c r="BO29" s="34"/>
      <c r="BP29" s="33"/>
      <c r="BQ29" s="33"/>
      <c r="BR29" s="33"/>
      <c r="BS29" s="33"/>
      <c r="BT29" s="33"/>
      <c r="BU29" s="33"/>
      <c r="BV29" s="33"/>
      <c r="BW29" s="33"/>
      <c r="BX29" s="33"/>
    </row>
    <row r="30" spans="1:79" s="35" customFormat="1" x14ac:dyDescent="0.2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7"/>
      <c r="AE30" s="7"/>
      <c r="AF30" s="7"/>
      <c r="AG30" s="7"/>
      <c r="AH30" s="7"/>
      <c r="AI30" s="7"/>
      <c r="AJ30" s="7"/>
      <c r="AK30" s="7"/>
      <c r="AL30" s="7"/>
      <c r="AM30" s="7"/>
      <c r="AN30" s="7"/>
      <c r="AO30" s="7"/>
      <c r="AP30" s="7"/>
      <c r="AQ30" s="7"/>
      <c r="AR30" s="7"/>
      <c r="AS30" s="7"/>
      <c r="AT30" s="7"/>
      <c r="AU30" s="7"/>
      <c r="AV30" s="7"/>
      <c r="AW30" s="36"/>
      <c r="AX30" s="36"/>
      <c r="AY30" s="36"/>
      <c r="AZ30" s="36"/>
      <c r="BA30" s="37"/>
      <c r="BB30" s="37"/>
      <c r="BC30" s="37"/>
      <c r="BD30" s="37"/>
      <c r="BE30" s="37"/>
      <c r="BF30" s="37"/>
      <c r="BG30" s="37"/>
      <c r="BH30" s="37"/>
      <c r="BI30" s="37"/>
      <c r="BJ30" s="37"/>
      <c r="BK30" s="37"/>
      <c r="BL30" s="37"/>
      <c r="BM30" s="37"/>
      <c r="BN30" s="37"/>
      <c r="BO30" s="37"/>
      <c r="BP30" s="36"/>
      <c r="BQ30" s="36"/>
      <c r="BR30" s="36"/>
      <c r="BS30" s="36"/>
      <c r="BT30" s="36"/>
      <c r="BU30" s="36"/>
      <c r="BV30" s="36"/>
      <c r="BW30" s="36"/>
      <c r="BX30" s="36"/>
      <c r="BY30" s="38"/>
      <c r="BZ30" s="38"/>
      <c r="CA30" s="38"/>
    </row>
    <row r="31" spans="1:79" s="35" customFormat="1" ht="15.6" x14ac:dyDescent="0.3">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7"/>
      <c r="AE31" s="7"/>
      <c r="AF31" s="7"/>
      <c r="AG31" s="7"/>
      <c r="AH31" s="7"/>
      <c r="AI31" s="7"/>
      <c r="AJ31" s="7"/>
      <c r="AK31" s="7"/>
      <c r="AL31" s="7"/>
      <c r="AM31" s="7"/>
      <c r="AN31" s="7"/>
      <c r="AO31" s="7"/>
      <c r="AP31" s="7"/>
      <c r="AQ31" s="7"/>
      <c r="AR31" s="7"/>
      <c r="AS31" s="7"/>
      <c r="AT31" s="7"/>
      <c r="AU31" s="7"/>
      <c r="AV31" s="7"/>
      <c r="AW31" s="36"/>
      <c r="AX31" s="36"/>
      <c r="AY31" s="36"/>
      <c r="AZ31" s="39" t="s">
        <v>21</v>
      </c>
      <c r="BA31" s="37"/>
      <c r="BB31" s="37"/>
      <c r="BC31" s="37"/>
      <c r="BD31" s="37"/>
      <c r="BE31" s="37"/>
      <c r="BF31" s="37"/>
      <c r="BG31" s="37"/>
      <c r="BH31" s="37"/>
      <c r="BI31" s="37"/>
      <c r="BJ31" s="37"/>
      <c r="BK31" s="37"/>
      <c r="BL31" s="37"/>
      <c r="BM31" s="37"/>
      <c r="BN31" s="37"/>
      <c r="BO31" s="37"/>
      <c r="BP31" s="36"/>
      <c r="BQ31" s="36"/>
      <c r="BR31" s="36"/>
      <c r="BS31" s="36"/>
      <c r="BT31" s="36"/>
      <c r="BU31" s="36"/>
      <c r="BV31" s="36"/>
      <c r="BW31" s="36"/>
      <c r="BX31" s="36"/>
      <c r="BY31" s="38"/>
      <c r="BZ31" s="38"/>
      <c r="CA31" s="38"/>
    </row>
    <row r="32" spans="1:79" s="35" customFormat="1" x14ac:dyDescent="0.2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7"/>
      <c r="AE32" s="7"/>
      <c r="AF32" s="7"/>
      <c r="AG32" s="7"/>
      <c r="AH32" s="7"/>
      <c r="AI32" s="7"/>
      <c r="AJ32" s="7"/>
      <c r="AK32" s="7"/>
      <c r="AL32" s="7"/>
      <c r="AM32" s="7"/>
      <c r="AN32" s="7"/>
      <c r="AO32" s="7"/>
      <c r="AP32" s="7"/>
      <c r="AQ32" s="7"/>
      <c r="AR32" s="7"/>
      <c r="AS32" s="7"/>
      <c r="AT32" s="7"/>
      <c r="AU32" s="7"/>
      <c r="AV32" s="7"/>
      <c r="AW32" s="36"/>
      <c r="AX32" s="36"/>
      <c r="AY32" s="36"/>
      <c r="AZ32" s="36"/>
      <c r="BA32" s="37"/>
      <c r="BB32" s="37"/>
      <c r="BC32" s="37"/>
      <c r="BD32" s="37"/>
      <c r="BE32" s="37"/>
      <c r="BF32" s="37"/>
      <c r="BG32" s="37"/>
      <c r="BH32" s="37"/>
      <c r="BI32" s="37"/>
      <c r="BJ32" s="37"/>
      <c r="BK32" s="37"/>
      <c r="BL32" s="37"/>
      <c r="BM32" s="37"/>
      <c r="BN32" s="37"/>
      <c r="BO32" s="37"/>
      <c r="BP32" s="36"/>
      <c r="BQ32" s="36"/>
      <c r="BR32" s="36"/>
      <c r="BS32" s="36"/>
      <c r="BT32" s="36"/>
      <c r="BU32" s="36"/>
      <c r="BV32" s="36"/>
      <c r="BW32" s="36"/>
      <c r="BX32" s="36"/>
      <c r="BY32" s="38"/>
      <c r="BZ32" s="38"/>
      <c r="CA32" s="38"/>
    </row>
    <row r="33" spans="1:79" s="35" customFormat="1"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7"/>
      <c r="AE33" s="7"/>
      <c r="AF33" s="7"/>
      <c r="AG33" s="7"/>
      <c r="AH33" s="7"/>
      <c r="AI33" s="7"/>
      <c r="AJ33" s="7"/>
      <c r="AK33" s="7"/>
      <c r="AL33" s="7"/>
      <c r="AM33" s="7"/>
      <c r="AN33" s="7"/>
      <c r="AO33" s="7"/>
      <c r="AP33" s="7"/>
      <c r="AQ33" s="7"/>
      <c r="AR33" s="7"/>
      <c r="AS33" s="7"/>
      <c r="AT33" s="7"/>
      <c r="AU33" s="7"/>
      <c r="AV33" s="7"/>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8"/>
      <c r="BZ33" s="38"/>
      <c r="CA33" s="38"/>
    </row>
    <row r="34" spans="1:79" s="35" customFormat="1"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7"/>
      <c r="AE34" s="7"/>
      <c r="AF34" s="7"/>
      <c r="AG34" s="7"/>
      <c r="AH34" s="7"/>
      <c r="AI34" s="7"/>
      <c r="AJ34" s="7"/>
      <c r="AK34" s="7"/>
      <c r="AL34" s="7"/>
      <c r="AM34" s="7"/>
      <c r="AN34" s="7"/>
      <c r="AO34" s="7"/>
      <c r="AP34" s="7"/>
      <c r="AQ34" s="7"/>
      <c r="AR34" s="7"/>
      <c r="AS34" s="7"/>
      <c r="AT34" s="7"/>
      <c r="AU34" s="7"/>
      <c r="AV34" s="7"/>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8"/>
      <c r="BZ34" s="38"/>
      <c r="CA34" s="38"/>
    </row>
    <row r="35" spans="1:79" s="35" customFormat="1" ht="15.6" x14ac:dyDescent="0.3">
      <c r="A35" s="11"/>
      <c r="B35" s="17" t="str">
        <f>IF(F5=ref!B2, "Mean dmft at 5 Years of Age, Overall", IF(F5=ref!B3, "Mean DMFT at Year 8, Overall", F5))</f>
        <v>Mean dmft at 5 Years of Age, Overall</v>
      </c>
      <c r="C35" s="16"/>
      <c r="D35" s="16"/>
      <c r="E35" s="16"/>
      <c r="F35" s="16"/>
      <c r="G35" s="16"/>
      <c r="H35" s="16"/>
      <c r="I35" s="16"/>
      <c r="J35" s="16"/>
      <c r="K35" s="16"/>
      <c r="L35" s="16"/>
      <c r="M35" s="16"/>
      <c r="N35" s="16"/>
      <c r="O35" s="16"/>
      <c r="P35" s="17" t="str">
        <f>"Rate Ratio of " &amp; B35</f>
        <v>Rate Ratio of Mean dmft at 5 Years of Age, Overall</v>
      </c>
      <c r="Q35" s="16"/>
      <c r="R35" s="16"/>
      <c r="S35" s="16"/>
      <c r="T35" s="16"/>
      <c r="U35" s="16"/>
      <c r="V35" s="16"/>
      <c r="W35" s="16"/>
      <c r="X35" s="17"/>
      <c r="Y35" s="11"/>
      <c r="Z35" s="11"/>
      <c r="AA35" s="11"/>
      <c r="AB35" s="11"/>
      <c r="AC35" s="11"/>
      <c r="AD35" s="7"/>
      <c r="AE35" s="7"/>
      <c r="AF35" s="7"/>
      <c r="AG35" s="7"/>
      <c r="AH35" s="7"/>
      <c r="AI35" s="7"/>
      <c r="AJ35" s="7"/>
      <c r="AK35" s="7"/>
      <c r="AL35" s="7"/>
      <c r="AM35" s="7"/>
      <c r="AN35" s="7"/>
      <c r="AO35" s="7"/>
      <c r="AP35" s="7"/>
      <c r="AQ35" s="7"/>
      <c r="AR35" s="7"/>
      <c r="AS35" s="7"/>
      <c r="AT35" s="7"/>
      <c r="AU35" s="7"/>
      <c r="AV35" s="7"/>
      <c r="AW35" s="36"/>
      <c r="AX35" s="36"/>
      <c r="AY35" s="36"/>
      <c r="AZ35" s="36"/>
      <c r="BA35" s="71" t="s">
        <v>22</v>
      </c>
      <c r="BB35" s="71"/>
      <c r="BC35" s="71"/>
      <c r="BD35" s="71"/>
      <c r="BE35" s="71"/>
      <c r="BF35" s="71"/>
      <c r="BG35" s="71"/>
      <c r="BH35" s="71"/>
      <c r="BI35" s="71"/>
      <c r="BJ35" s="71"/>
      <c r="BK35" s="71"/>
      <c r="BL35" s="71"/>
      <c r="BM35" s="71" t="s">
        <v>26</v>
      </c>
      <c r="BN35" s="71"/>
      <c r="BO35" s="71"/>
      <c r="BP35" s="71"/>
      <c r="BQ35" s="71"/>
      <c r="BR35" s="71"/>
      <c r="BS35" s="71"/>
      <c r="BT35" s="71"/>
      <c r="BU35" s="71"/>
      <c r="BV35" s="71"/>
      <c r="BW35" s="71"/>
      <c r="BX35" s="71"/>
      <c r="BY35" s="38"/>
      <c r="BZ35" s="38"/>
      <c r="CA35" s="38"/>
    </row>
    <row r="36" spans="1:79" s="35" customFormat="1" x14ac:dyDescent="0.25">
      <c r="A36" s="11"/>
      <c r="B36" s="11"/>
      <c r="C36" s="11"/>
      <c r="D36" s="11"/>
      <c r="E36" s="11"/>
      <c r="F36" s="11"/>
      <c r="G36" s="11"/>
      <c r="H36" s="11"/>
      <c r="I36" s="11"/>
      <c r="J36" s="11"/>
      <c r="K36" s="11"/>
      <c r="L36" s="11"/>
      <c r="M36" s="11"/>
      <c r="N36" s="11"/>
      <c r="O36" s="11"/>
      <c r="P36" s="19"/>
      <c r="Q36" s="11"/>
      <c r="R36" s="11"/>
      <c r="S36" s="11"/>
      <c r="T36" s="11"/>
      <c r="U36" s="11"/>
      <c r="V36" s="11"/>
      <c r="W36" s="11"/>
      <c r="X36" s="11"/>
      <c r="Y36" s="11"/>
      <c r="Z36" s="11"/>
      <c r="AA36" s="11"/>
      <c r="AB36" s="11"/>
      <c r="AC36" s="11"/>
      <c r="AD36" s="7"/>
      <c r="AE36" s="7"/>
      <c r="AF36" s="7"/>
      <c r="AG36" s="7"/>
      <c r="AH36" s="7"/>
      <c r="AI36" s="7"/>
      <c r="AJ36" s="7"/>
      <c r="AK36" s="7"/>
      <c r="AL36" s="7"/>
      <c r="AM36" s="7"/>
      <c r="AN36" s="7"/>
      <c r="AO36" s="7"/>
      <c r="AP36" s="7"/>
      <c r="AQ36" s="7"/>
      <c r="AR36" s="7"/>
      <c r="AS36" s="7"/>
      <c r="AT36" s="7"/>
      <c r="AU36" s="7"/>
      <c r="AV36" s="7"/>
      <c r="AW36" s="36"/>
      <c r="AX36" s="36"/>
      <c r="AY36" s="36"/>
      <c r="AZ36" s="36"/>
      <c r="BA36" s="71" t="s">
        <v>18</v>
      </c>
      <c r="BB36" s="71"/>
      <c r="BC36" s="71"/>
      <c r="BD36" s="71"/>
      <c r="BE36" s="71"/>
      <c r="BF36" s="71"/>
      <c r="BG36" s="71" t="s">
        <v>3</v>
      </c>
      <c r="BH36" s="71"/>
      <c r="BI36" s="71"/>
      <c r="BJ36" s="71"/>
      <c r="BK36" s="71"/>
      <c r="BL36" s="71"/>
      <c r="BM36" s="71" t="s">
        <v>18</v>
      </c>
      <c r="BN36" s="71"/>
      <c r="BO36" s="71"/>
      <c r="BP36" s="71"/>
      <c r="BQ36" s="71"/>
      <c r="BR36" s="71"/>
      <c r="BS36" s="71" t="s">
        <v>3</v>
      </c>
      <c r="BT36" s="71"/>
      <c r="BU36" s="71"/>
      <c r="BV36" s="71"/>
      <c r="BW36" s="71"/>
      <c r="BX36" s="71"/>
      <c r="BY36" s="38"/>
      <c r="BZ36" s="38"/>
      <c r="CA36" s="38"/>
    </row>
    <row r="37" spans="1:79" s="35" customFormat="1" x14ac:dyDescent="0.25">
      <c r="A37" s="70" t="s">
        <v>13</v>
      </c>
      <c r="B37" s="70"/>
      <c r="C37" s="70"/>
      <c r="D37" s="70"/>
      <c r="E37" s="70"/>
      <c r="F37" s="70"/>
      <c r="G37" s="70"/>
      <c r="H37" s="70"/>
      <c r="I37" s="70"/>
      <c r="J37" s="70"/>
      <c r="K37" s="11"/>
      <c r="L37" s="11"/>
      <c r="M37" s="11"/>
      <c r="N37" s="11"/>
      <c r="O37" s="11"/>
      <c r="P37" s="70"/>
      <c r="Q37" s="70"/>
      <c r="R37" s="70"/>
      <c r="S37" s="11"/>
      <c r="T37" s="11"/>
      <c r="U37" s="11"/>
      <c r="V37" s="11"/>
      <c r="W37" s="11"/>
      <c r="X37" s="70"/>
      <c r="Y37" s="70"/>
      <c r="Z37" s="70"/>
      <c r="AA37" s="11"/>
      <c r="AB37" s="11"/>
      <c r="AC37" s="11"/>
      <c r="AD37" s="7"/>
      <c r="AE37" s="7"/>
      <c r="AF37" s="7"/>
      <c r="AG37" s="7"/>
      <c r="AH37" s="7"/>
      <c r="AI37" s="7"/>
      <c r="AJ37" s="7"/>
      <c r="AK37" s="7"/>
      <c r="AL37" s="7"/>
      <c r="AM37" s="7"/>
      <c r="AN37" s="7"/>
      <c r="AO37" s="7"/>
      <c r="AP37" s="7"/>
      <c r="AQ37" s="7"/>
      <c r="AR37" s="7"/>
      <c r="AS37" s="7"/>
      <c r="AT37" s="7"/>
      <c r="AU37" s="7"/>
      <c r="AV37" s="7"/>
      <c r="AW37" s="36"/>
      <c r="AX37" s="36"/>
      <c r="AY37" s="36"/>
      <c r="AZ37" s="36"/>
      <c r="BA37" s="71" t="s">
        <v>1</v>
      </c>
      <c r="BB37" s="71"/>
      <c r="BC37" s="71"/>
      <c r="BD37" s="71" t="s">
        <v>2</v>
      </c>
      <c r="BE37" s="71"/>
      <c r="BF37" s="71"/>
      <c r="BG37" s="71" t="s">
        <v>1</v>
      </c>
      <c r="BH37" s="71"/>
      <c r="BI37" s="71"/>
      <c r="BJ37" s="71" t="s">
        <v>2</v>
      </c>
      <c r="BK37" s="71"/>
      <c r="BL37" s="71"/>
      <c r="BM37" s="71" t="s">
        <v>1</v>
      </c>
      <c r="BN37" s="71"/>
      <c r="BO37" s="71"/>
      <c r="BP37" s="71" t="s">
        <v>2</v>
      </c>
      <c r="BQ37" s="71"/>
      <c r="BR37" s="71"/>
      <c r="BS37" s="71" t="s">
        <v>1</v>
      </c>
      <c r="BT37" s="71"/>
      <c r="BU37" s="71"/>
      <c r="BV37" s="71" t="s">
        <v>2</v>
      </c>
      <c r="BW37" s="71"/>
      <c r="BX37" s="71"/>
      <c r="BY37" s="38"/>
      <c r="BZ37" s="38"/>
      <c r="CA37" s="38"/>
    </row>
    <row r="38" spans="1:79" s="35" customFormat="1" x14ac:dyDescent="0.25">
      <c r="A38" s="20"/>
      <c r="B38" s="70" t="s">
        <v>1</v>
      </c>
      <c r="C38" s="70"/>
      <c r="D38" s="70"/>
      <c r="E38" s="70" t="s">
        <v>2</v>
      </c>
      <c r="F38" s="70"/>
      <c r="G38" s="70"/>
      <c r="H38" s="62"/>
      <c r="I38" s="62"/>
      <c r="J38" s="62"/>
      <c r="K38" s="11"/>
      <c r="L38" s="11"/>
      <c r="M38" s="11"/>
      <c r="N38" s="11"/>
      <c r="O38" s="11"/>
      <c r="P38" s="20"/>
      <c r="Q38" s="20"/>
      <c r="R38" s="20"/>
      <c r="S38" s="11"/>
      <c r="T38" s="11"/>
      <c r="U38" s="11"/>
      <c r="V38" s="11"/>
      <c r="W38" s="11"/>
      <c r="X38" s="20"/>
      <c r="Y38" s="20"/>
      <c r="Z38" s="20"/>
      <c r="AA38" s="11"/>
      <c r="AB38" s="11"/>
      <c r="AC38" s="11"/>
      <c r="AD38" s="7"/>
      <c r="AE38" s="7"/>
      <c r="AF38" s="7"/>
      <c r="AG38" s="7"/>
      <c r="AH38" s="7"/>
      <c r="AI38" s="7"/>
      <c r="AJ38" s="7"/>
      <c r="AK38" s="7"/>
      <c r="AL38" s="7"/>
      <c r="AM38" s="7"/>
      <c r="AN38" s="7"/>
      <c r="AO38" s="7"/>
      <c r="AP38" s="7"/>
      <c r="AQ38" s="7"/>
      <c r="AR38" s="7"/>
      <c r="AS38" s="7"/>
      <c r="AT38" s="7"/>
      <c r="AU38" s="7"/>
      <c r="AV38" s="7"/>
      <c r="AW38" s="36"/>
      <c r="AX38" s="36"/>
      <c r="AY38" s="36"/>
      <c r="AZ38" s="36" t="s">
        <v>0</v>
      </c>
      <c r="BA38" s="36" t="s">
        <v>19</v>
      </c>
      <c r="BB38" s="36" t="s">
        <v>16</v>
      </c>
      <c r="BC38" s="36" t="s">
        <v>17</v>
      </c>
      <c r="BD38" s="36" t="s">
        <v>19</v>
      </c>
      <c r="BE38" s="36" t="s">
        <v>16</v>
      </c>
      <c r="BF38" s="36" t="s">
        <v>17</v>
      </c>
      <c r="BG38" s="36" t="s">
        <v>20</v>
      </c>
      <c r="BH38" s="36" t="s">
        <v>16</v>
      </c>
      <c r="BI38" s="36" t="s">
        <v>17</v>
      </c>
      <c r="BJ38" s="36" t="s">
        <v>20</v>
      </c>
      <c r="BK38" s="36" t="s">
        <v>16</v>
      </c>
      <c r="BL38" s="36" t="s">
        <v>17</v>
      </c>
      <c r="BM38" s="36" t="s">
        <v>19</v>
      </c>
      <c r="BN38" s="36" t="s">
        <v>16</v>
      </c>
      <c r="BO38" s="36" t="s">
        <v>17</v>
      </c>
      <c r="BP38" s="36" t="s">
        <v>19</v>
      </c>
      <c r="BQ38" s="36" t="s">
        <v>16</v>
      </c>
      <c r="BR38" s="36" t="s">
        <v>17</v>
      </c>
      <c r="BS38" s="36" t="s">
        <v>20</v>
      </c>
      <c r="BT38" s="36" t="s">
        <v>16</v>
      </c>
      <c r="BU38" s="36" t="s">
        <v>17</v>
      </c>
      <c r="BV38" s="36" t="s">
        <v>20</v>
      </c>
      <c r="BW38" s="36" t="s">
        <v>16</v>
      </c>
      <c r="BX38" s="36" t="s">
        <v>17</v>
      </c>
      <c r="BY38" s="38"/>
      <c r="BZ38" s="38"/>
      <c r="CA38" s="38"/>
    </row>
    <row r="39" spans="1:79" s="35" customFormat="1" x14ac:dyDescent="0.25">
      <c r="A39" s="21" t="s">
        <v>0</v>
      </c>
      <c r="B39" s="20" t="str">
        <f>IF(OR($F$5 = ref!B2, $F$5 =ref!B3), "Mean", "Percent")</f>
        <v>Mean</v>
      </c>
      <c r="C39" s="40" t="s">
        <v>16</v>
      </c>
      <c r="D39" s="41" t="s">
        <v>17</v>
      </c>
      <c r="E39" s="20" t="str">
        <f>IF(OR($F$5 = ref!$B$2, $F$5 =ref!$B$3), "Mean", "Percent")</f>
        <v>Mean</v>
      </c>
      <c r="F39" s="40" t="s">
        <v>16</v>
      </c>
      <c r="G39" s="40" t="s">
        <v>17</v>
      </c>
      <c r="H39" s="40"/>
      <c r="I39" s="40"/>
      <c r="J39" s="40"/>
      <c r="K39" s="11"/>
      <c r="L39" s="11"/>
      <c r="M39" s="11"/>
      <c r="N39" s="11"/>
      <c r="O39" s="11"/>
      <c r="P39" s="21" t="s">
        <v>0</v>
      </c>
      <c r="Q39" s="19" t="s">
        <v>50</v>
      </c>
      <c r="R39" s="19"/>
      <c r="S39" s="11"/>
      <c r="T39" s="11"/>
      <c r="U39" s="11"/>
      <c r="V39" s="11"/>
      <c r="W39" s="11"/>
      <c r="X39" s="21"/>
      <c r="Y39" s="11"/>
      <c r="Z39" s="11"/>
      <c r="AA39" s="11"/>
      <c r="AB39" s="11"/>
      <c r="AC39" s="11"/>
      <c r="AD39" s="14" t="s">
        <v>31</v>
      </c>
      <c r="AE39" s="7"/>
      <c r="AF39" s="7"/>
      <c r="AG39" s="7"/>
      <c r="AH39" s="7"/>
      <c r="AI39" s="7"/>
      <c r="AJ39" s="7"/>
      <c r="AK39" s="7"/>
      <c r="AL39" s="7"/>
      <c r="AM39" s="7"/>
      <c r="AN39" s="7"/>
      <c r="AO39" s="7"/>
      <c r="AP39" s="7"/>
      <c r="AQ39" s="7"/>
      <c r="AR39" s="7"/>
      <c r="AS39" s="7"/>
      <c r="AT39" s="7"/>
      <c r="AU39" s="7"/>
      <c r="AV39" s="7"/>
      <c r="AW39" s="36"/>
      <c r="AX39" s="36"/>
      <c r="AY39" s="36"/>
      <c r="AZ39" s="36">
        <v>2002</v>
      </c>
      <c r="BA39" s="42">
        <v>33.844999999999999</v>
      </c>
      <c r="BB39" s="42">
        <v>33.036802847234746</v>
      </c>
      <c r="BC39" s="42">
        <v>34.653197152765252</v>
      </c>
      <c r="BD39" s="42">
        <v>46.277499999999996</v>
      </c>
      <c r="BE39" s="37">
        <v>45.567465927719915</v>
      </c>
      <c r="BF39" s="37">
        <v>46.987534072280077</v>
      </c>
      <c r="BG39" s="37">
        <v>1.74</v>
      </c>
      <c r="BH39" s="37">
        <v>1.6984499026204301</v>
      </c>
      <c r="BI39" s="37">
        <v>1.7815500973795699</v>
      </c>
      <c r="BJ39" s="37">
        <v>1.6524999999999999</v>
      </c>
      <c r="BK39" s="37">
        <v>1.627145749998534</v>
      </c>
      <c r="BL39" s="37">
        <v>1.6778542500014657</v>
      </c>
      <c r="BM39" s="37">
        <v>33.215000000000003</v>
      </c>
      <c r="BN39" s="37">
        <v>32.31324590204575</v>
      </c>
      <c r="BO39" s="37">
        <v>34.116754097954257</v>
      </c>
      <c r="BP39" s="37">
        <v>50.225000000000001</v>
      </c>
      <c r="BQ39" s="37">
        <v>49.454399572572697</v>
      </c>
      <c r="BR39" s="37">
        <v>50.995600427427306</v>
      </c>
      <c r="BS39" s="37">
        <v>3.5500000000000003</v>
      </c>
      <c r="BT39" s="37">
        <v>3.4536210432714864</v>
      </c>
      <c r="BU39" s="37">
        <v>3.6463789567285141</v>
      </c>
      <c r="BV39" s="37">
        <v>2.3725000000000001</v>
      </c>
      <c r="BW39" s="37">
        <v>2.3360988150508457</v>
      </c>
      <c r="BX39" s="37">
        <v>2.4089011849491544</v>
      </c>
      <c r="BY39" s="38"/>
      <c r="BZ39" s="38"/>
      <c r="CA39" s="38"/>
    </row>
    <row r="40" spans="1:79" s="35" customFormat="1" x14ac:dyDescent="0.25">
      <c r="A40" s="11">
        <v>2002</v>
      </c>
      <c r="B40" s="23">
        <f>IF($F$5=ref!$B$2,BS39,IF($F$5=ref!$B$3,BG39,IF($F$5="Caries-free at 5 Years of Age",BM39,IF($F$5="Caries-free at Year 8",BA39))))</f>
        <v>3.5500000000000003</v>
      </c>
      <c r="C40" s="24">
        <f>IF($F$5=ref!$B$2,BT39,IF($F$5=ref!$B$3,BH39,IF($F$5="Caries-free at 5 Years of Age",BN39,IF($F$5="Caries-free at Year 8",BB39))))</f>
        <v>3.4536210432714864</v>
      </c>
      <c r="D40" s="24">
        <f>IF($F$5=ref!$B$2,BU39,IF($F$5=ref!$B$3,BI39,IF($F$5="Caries-free at 5 Years of Age",BO39,IF($F$5="Caries-free at Year 8",BC39))))</f>
        <v>3.6463789567285141</v>
      </c>
      <c r="E40" s="23">
        <f>IF($F$5=ref!$B$2,BV39,IF($F$5=ref!$B$3,BJ39,IF($F$5="Caries-free at 5 Years of Age",BP39,IF($F$5="Caries-free at Year 8",BD39))))</f>
        <v>2.3725000000000001</v>
      </c>
      <c r="F40" s="24">
        <f>IF($F$5=ref!$B$2, BW39, IF($F$5 = ref!$B$3, BK39,IF($F$5="Caries-free at 5 Years of Age",BQ39,IF($F$5="Caries-free at Year 8",BE39))))</f>
        <v>2.3360988150508457</v>
      </c>
      <c r="G40" s="24">
        <f>IF($F$5=ref!$B$2, BX39, IF($F$5 = ref!$B$3, BL39,IF($F$5="Caries-free at 5 Years of Age",BR39,IF($F$5="Caries-free at Year 8",BF39))))</f>
        <v>2.4089011849491544</v>
      </c>
      <c r="H40" s="24"/>
      <c r="I40" s="24"/>
      <c r="J40" s="24"/>
      <c r="K40" s="24"/>
      <c r="L40" s="24"/>
      <c r="M40" s="11"/>
      <c r="N40" s="11"/>
      <c r="O40" s="11"/>
      <c r="P40" s="11">
        <v>2002</v>
      </c>
      <c r="Q40" s="23">
        <f>B40/E40</f>
        <v>1.4963119072708115</v>
      </c>
      <c r="R40" s="23"/>
      <c r="S40" s="24"/>
      <c r="T40" s="11"/>
      <c r="U40" s="11"/>
      <c r="V40" s="11"/>
      <c r="W40" s="11"/>
      <c r="X40" s="11"/>
      <c r="Y40" s="24"/>
      <c r="Z40" s="24"/>
      <c r="AA40" s="11"/>
      <c r="AB40" s="11"/>
      <c r="AC40" s="11"/>
      <c r="AD40" s="14">
        <v>1</v>
      </c>
      <c r="AE40" s="7"/>
      <c r="AF40" s="7"/>
      <c r="AG40" s="7"/>
      <c r="AH40" s="7"/>
      <c r="AI40" s="7"/>
      <c r="AJ40" s="7"/>
      <c r="AK40" s="7"/>
      <c r="AL40" s="7"/>
      <c r="AM40" s="7"/>
      <c r="AN40" s="7"/>
      <c r="AO40" s="7"/>
      <c r="AP40" s="7"/>
      <c r="AQ40" s="7"/>
      <c r="AR40" s="7"/>
      <c r="AS40" s="7"/>
      <c r="AT40" s="7"/>
      <c r="AU40" s="7"/>
      <c r="AV40" s="7"/>
      <c r="AW40" s="36"/>
      <c r="AX40" s="36"/>
      <c r="AY40" s="36"/>
      <c r="AZ40" s="36">
        <v>2003</v>
      </c>
      <c r="BA40" s="42">
        <v>32.369999999999997</v>
      </c>
      <c r="BB40" s="42">
        <v>31.294503135001921</v>
      </c>
      <c r="BC40" s="42">
        <v>33.44549686499807</v>
      </c>
      <c r="BD40" s="42">
        <v>42.94</v>
      </c>
      <c r="BE40" s="37">
        <v>42.524026744124953</v>
      </c>
      <c r="BF40" s="37">
        <v>43.355973255875043</v>
      </c>
      <c r="BG40" s="37">
        <v>2.2749999999999999</v>
      </c>
      <c r="BH40" s="37">
        <v>2.1994128709338701</v>
      </c>
      <c r="BI40" s="37">
        <v>2.3505871290661298</v>
      </c>
      <c r="BJ40" s="37">
        <v>1.7674999999999998</v>
      </c>
      <c r="BK40" s="37">
        <v>1.7503776728048639</v>
      </c>
      <c r="BL40" s="37">
        <v>1.7846223271951358</v>
      </c>
      <c r="BM40" s="37">
        <v>33.200000000000003</v>
      </c>
      <c r="BN40" s="37">
        <v>32.587528824207645</v>
      </c>
      <c r="BO40" s="37">
        <v>33.812471175792361</v>
      </c>
      <c r="BP40" s="37">
        <v>48.454999999999998</v>
      </c>
      <c r="BQ40" s="37">
        <v>47.901169724806408</v>
      </c>
      <c r="BR40" s="37">
        <v>49.008830275193588</v>
      </c>
      <c r="BS40" s="37">
        <v>3.92</v>
      </c>
      <c r="BT40" s="37">
        <v>3.847684126231746</v>
      </c>
      <c r="BU40" s="37">
        <v>3.9923158737682538</v>
      </c>
      <c r="BV40" s="37">
        <v>2.5625</v>
      </c>
      <c r="BW40" s="37">
        <v>2.5332111736624996</v>
      </c>
      <c r="BX40" s="37">
        <v>2.5917888263375004</v>
      </c>
      <c r="BY40" s="38"/>
      <c r="BZ40" s="38"/>
      <c r="CA40" s="38"/>
    </row>
    <row r="41" spans="1:79" s="35" customFormat="1" x14ac:dyDescent="0.25">
      <c r="A41" s="11">
        <v>2003</v>
      </c>
      <c r="B41" s="23">
        <f>IF($F$5=ref!$B$2,BS40,IF($F$5=ref!$B$3,BG40,IF($F$5="Caries-free at 5 Years of Age",BM40,IF($F$5="Caries-free at Year 8",BA40))))</f>
        <v>3.92</v>
      </c>
      <c r="C41" s="24">
        <f>IF($F$5=ref!$B$2,BT40,IF($F$5=ref!$B$3,BH40,IF($F$5="Caries-free at 5 Years of Age",BN40,IF($F$5="Caries-free at Year 8",BB40))))</f>
        <v>3.847684126231746</v>
      </c>
      <c r="D41" s="24">
        <f>IF($F$5=ref!$B$2,BU40,IF($F$5=ref!$B$3,BI40,IF($F$5="Caries-free at 5 Years of Age",BO40,IF($F$5="Caries-free at Year 8",BC40))))</f>
        <v>3.9923158737682538</v>
      </c>
      <c r="E41" s="23">
        <f>IF($F$5=ref!$B$2,BV40,IF($F$5=ref!$B$3,BJ40,IF($F$5="Caries-free at 5 Years of Age",BP40,IF($F$5="Caries-free at Year 8",BD40))))</f>
        <v>2.5625</v>
      </c>
      <c r="F41" s="24">
        <f>IF($F$5=ref!$B$2, BW40, IF($F$5 = ref!$B$3, BK40,IF($F$5="Caries-free at 5 Years of Age",BQ40,IF($F$5="Caries-free at Year 8",BE40))))</f>
        <v>2.5332111736624996</v>
      </c>
      <c r="G41" s="24">
        <f>IF($F$5=ref!$B$2, BX40, IF($F$5 = ref!$B$3, BL40,IF($F$5="Caries-free at 5 Years of Age",BR40,IF($F$5="Caries-free at Year 8",BF40))))</f>
        <v>2.5917888263375004</v>
      </c>
      <c r="H41" s="24"/>
      <c r="I41" s="24"/>
      <c r="J41" s="24"/>
      <c r="K41" s="24"/>
      <c r="L41" s="24"/>
      <c r="M41" s="11"/>
      <c r="N41" s="11"/>
      <c r="O41" s="11"/>
      <c r="P41" s="11">
        <v>2003</v>
      </c>
      <c r="Q41" s="23">
        <f t="shared" ref="Q41:Q50" si="0">B41/E41</f>
        <v>1.5297560975609756</v>
      </c>
      <c r="R41" s="23"/>
      <c r="S41" s="24"/>
      <c r="T41" s="11"/>
      <c r="U41" s="11"/>
      <c r="V41" s="11"/>
      <c r="W41" s="11"/>
      <c r="X41" s="11"/>
      <c r="Y41" s="24"/>
      <c r="Z41" s="24"/>
      <c r="AA41" s="11"/>
      <c r="AB41" s="11"/>
      <c r="AC41" s="11"/>
      <c r="AD41" s="14">
        <v>1</v>
      </c>
      <c r="AE41" s="7"/>
      <c r="AF41" s="7"/>
      <c r="AG41" s="7"/>
      <c r="AH41" s="7"/>
      <c r="AI41" s="7"/>
      <c r="AJ41" s="7"/>
      <c r="AK41" s="7"/>
      <c r="AL41" s="7"/>
      <c r="AM41" s="7"/>
      <c r="AN41" s="7"/>
      <c r="AO41" s="7"/>
      <c r="AP41" s="7"/>
      <c r="AQ41" s="7"/>
      <c r="AR41" s="7"/>
      <c r="AS41" s="7"/>
      <c r="AT41" s="7"/>
      <c r="AU41" s="7"/>
      <c r="AV41" s="7"/>
      <c r="AW41" s="36"/>
      <c r="AX41" s="36"/>
      <c r="AY41" s="36"/>
      <c r="AZ41" s="36">
        <v>2004</v>
      </c>
      <c r="BA41" s="42">
        <v>33.445</v>
      </c>
      <c r="BB41" s="42">
        <v>32.772660902780835</v>
      </c>
      <c r="BC41" s="42">
        <v>34.117339097219165</v>
      </c>
      <c r="BD41" s="42">
        <v>45.17</v>
      </c>
      <c r="BE41" s="37">
        <v>44.726089305034691</v>
      </c>
      <c r="BF41" s="37">
        <v>45.613910694965313</v>
      </c>
      <c r="BG41" s="37">
        <v>2.3049999999999997</v>
      </c>
      <c r="BH41" s="37">
        <v>2.2586629804428111</v>
      </c>
      <c r="BI41" s="37">
        <v>2.3513370195571883</v>
      </c>
      <c r="BJ41" s="37">
        <v>1.6125</v>
      </c>
      <c r="BK41" s="37">
        <v>1.5966530662910878</v>
      </c>
      <c r="BL41" s="37">
        <v>1.6283469337089123</v>
      </c>
      <c r="BM41" s="37">
        <v>31.159999999999997</v>
      </c>
      <c r="BN41" s="37">
        <v>30.494503306840645</v>
      </c>
      <c r="BO41" s="37">
        <v>31.825496693159348</v>
      </c>
      <c r="BP41" s="37">
        <v>48.727500000000006</v>
      </c>
      <c r="BQ41" s="37">
        <v>48.170431958367871</v>
      </c>
      <c r="BR41" s="37">
        <v>49.284568041632141</v>
      </c>
      <c r="BS41" s="37">
        <v>3.665</v>
      </c>
      <c r="BT41" s="37">
        <v>3.5867251161608142</v>
      </c>
      <c r="BU41" s="37">
        <v>3.7432748838391858</v>
      </c>
      <c r="BV41" s="37">
        <v>2.4649999999999999</v>
      </c>
      <c r="BW41" s="37">
        <v>2.4368193479529379</v>
      </c>
      <c r="BX41" s="37">
        <v>2.4931806520470619</v>
      </c>
      <c r="BY41" s="38"/>
      <c r="BZ41" s="38"/>
      <c r="CA41" s="38"/>
    </row>
    <row r="42" spans="1:79" s="35" customFormat="1" x14ac:dyDescent="0.25">
      <c r="A42" s="11">
        <v>2004</v>
      </c>
      <c r="B42" s="23">
        <f>IF($F$5=ref!$B$2,BS41,IF($F$5=ref!$B$3,BG41,IF($F$5="Caries-free at 5 Years of Age",BM41,IF($F$5="Caries-free at Year 8",BA41))))</f>
        <v>3.665</v>
      </c>
      <c r="C42" s="24">
        <f>IF($F$5=ref!$B$2,BT41,IF($F$5=ref!$B$3,BH41,IF($F$5="Caries-free at 5 Years of Age",BN41,IF($F$5="Caries-free at Year 8",BB41))))</f>
        <v>3.5867251161608142</v>
      </c>
      <c r="D42" s="24">
        <f>IF($F$5=ref!$B$2,BU41,IF($F$5=ref!$B$3,BI41,IF($F$5="Caries-free at 5 Years of Age",BO41,IF($F$5="Caries-free at Year 8",BC41))))</f>
        <v>3.7432748838391858</v>
      </c>
      <c r="E42" s="23">
        <f>IF($F$5=ref!$B$2,BV41,IF($F$5=ref!$B$3,BJ41,IF($F$5="Caries-free at 5 Years of Age",BP41,IF($F$5="Caries-free at Year 8",BD41))))</f>
        <v>2.4649999999999999</v>
      </c>
      <c r="F42" s="24">
        <f>IF($F$5=ref!$B$2, BW41, IF($F$5 = ref!$B$3, BK41,IF($F$5="Caries-free at 5 Years of Age",BQ41,IF($F$5="Caries-free at Year 8",BE41))))</f>
        <v>2.4368193479529379</v>
      </c>
      <c r="G42" s="24">
        <f>IF($F$5=ref!$B$2, BX41, IF($F$5 = ref!$B$3, BL41,IF($F$5="Caries-free at 5 Years of Age",BR41,IF($F$5="Caries-free at Year 8",BF41))))</f>
        <v>2.4931806520470619</v>
      </c>
      <c r="H42" s="24"/>
      <c r="I42" s="24"/>
      <c r="J42" s="24"/>
      <c r="K42" s="24"/>
      <c r="L42" s="26"/>
      <c r="M42" s="11"/>
      <c r="N42" s="11"/>
      <c r="O42" s="11"/>
      <c r="P42" s="11">
        <v>2004</v>
      </c>
      <c r="Q42" s="23">
        <f t="shared" si="0"/>
        <v>1.486815415821501</v>
      </c>
      <c r="R42" s="23"/>
      <c r="S42" s="24"/>
      <c r="T42" s="11"/>
      <c r="U42" s="11"/>
      <c r="V42" s="11"/>
      <c r="W42" s="11"/>
      <c r="X42" s="11"/>
      <c r="Y42" s="24"/>
      <c r="Z42" s="24"/>
      <c r="AA42" s="11"/>
      <c r="AB42" s="11"/>
      <c r="AC42" s="11"/>
      <c r="AD42" s="14">
        <v>1</v>
      </c>
      <c r="AE42" s="7"/>
      <c r="AF42" s="7"/>
      <c r="AG42" s="7"/>
      <c r="AH42" s="7"/>
      <c r="AI42" s="7"/>
      <c r="AJ42" s="7"/>
      <c r="AK42" s="7"/>
      <c r="AL42" s="7"/>
      <c r="AM42" s="7"/>
      <c r="AN42" s="7"/>
      <c r="AO42" s="7"/>
      <c r="AP42" s="7"/>
      <c r="AQ42" s="7"/>
      <c r="AR42" s="7"/>
      <c r="AS42" s="7"/>
      <c r="AT42" s="7"/>
      <c r="AU42" s="7"/>
      <c r="AV42" s="7"/>
      <c r="AW42" s="36"/>
      <c r="AX42" s="36"/>
      <c r="AY42" s="36"/>
      <c r="AZ42" s="36">
        <v>2005</v>
      </c>
      <c r="BA42" s="42">
        <v>32.94</v>
      </c>
      <c r="BB42" s="42">
        <v>32.248096712737244</v>
      </c>
      <c r="BC42" s="42">
        <v>33.631903287262752</v>
      </c>
      <c r="BD42" s="42">
        <v>42.19</v>
      </c>
      <c r="BE42" s="37">
        <v>41.771292227449777</v>
      </c>
      <c r="BF42" s="37">
        <v>42.608707772550218</v>
      </c>
      <c r="BG42" s="37">
        <v>2.4649999999999999</v>
      </c>
      <c r="BH42" s="37">
        <v>2.4132227807194084</v>
      </c>
      <c r="BI42" s="37">
        <v>2.5167772192805913</v>
      </c>
      <c r="BJ42" s="37">
        <v>1.75</v>
      </c>
      <c r="BK42" s="37">
        <v>1.7326324104772959</v>
      </c>
      <c r="BL42" s="37">
        <v>1.7673675895227041</v>
      </c>
      <c r="BM42" s="37">
        <v>30.700000000000003</v>
      </c>
      <c r="BN42" s="37">
        <v>30.065131547380247</v>
      </c>
      <c r="BO42" s="37">
        <v>31.334868452619759</v>
      </c>
      <c r="BP42" s="37">
        <v>40.155000000000001</v>
      </c>
      <c r="BQ42" s="37">
        <v>39.684690004037222</v>
      </c>
      <c r="BR42" s="37">
        <v>40.62530999596278</v>
      </c>
      <c r="BS42" s="37">
        <v>3.7450000000000001</v>
      </c>
      <c r="BT42" s="37">
        <v>3.6675543206820524</v>
      </c>
      <c r="BU42" s="37">
        <v>3.8224456793179478</v>
      </c>
      <c r="BV42" s="37">
        <v>2.5825</v>
      </c>
      <c r="BW42" s="37">
        <v>2.5522528187131397</v>
      </c>
      <c r="BX42" s="37">
        <v>2.6127471812868603</v>
      </c>
      <c r="BY42" s="38"/>
      <c r="BZ42" s="38"/>
      <c r="CA42" s="38"/>
    </row>
    <row r="43" spans="1:79" s="35" customFormat="1" x14ac:dyDescent="0.25">
      <c r="A43" s="11">
        <v>2005</v>
      </c>
      <c r="B43" s="23">
        <f>IF($F$5=ref!$B$2,BS42,IF($F$5=ref!$B$3,BG42,IF($F$5="Caries-free at 5 Years of Age",BM42,IF($F$5="Caries-free at Year 8",BA42))))</f>
        <v>3.7450000000000001</v>
      </c>
      <c r="C43" s="24">
        <f>IF($F$5=ref!$B$2,BT42,IF($F$5=ref!$B$3,BH42,IF($F$5="Caries-free at 5 Years of Age",BN42,IF($F$5="Caries-free at Year 8",BB42))))</f>
        <v>3.6675543206820524</v>
      </c>
      <c r="D43" s="24">
        <f>IF($F$5=ref!$B$2,BU42,IF($F$5=ref!$B$3,BI42,IF($F$5="Caries-free at 5 Years of Age",BO42,IF($F$5="Caries-free at Year 8",BC42))))</f>
        <v>3.8224456793179478</v>
      </c>
      <c r="E43" s="23">
        <f>IF($F$5=ref!$B$2,BV42,IF($F$5=ref!$B$3,BJ42,IF($F$5="Caries-free at 5 Years of Age",BP42,IF($F$5="Caries-free at Year 8",BD42))))</f>
        <v>2.5825</v>
      </c>
      <c r="F43" s="24">
        <f>IF($F$5=ref!$B$2, BW42, IF($F$5 = ref!$B$3, BK42,IF($F$5="Caries-free at 5 Years of Age",BQ42,IF($F$5="Caries-free at Year 8",BE42))))</f>
        <v>2.5522528187131397</v>
      </c>
      <c r="G43" s="24">
        <f>IF($F$5=ref!$B$2, BX42, IF($F$5 = ref!$B$3, BL42,IF($F$5="Caries-free at 5 Years of Age",BR42,IF($F$5="Caries-free at Year 8",BF42))))</f>
        <v>2.6127471812868603</v>
      </c>
      <c r="H43" s="24"/>
      <c r="I43" s="24"/>
      <c r="J43" s="24"/>
      <c r="K43" s="24"/>
      <c r="L43" s="24"/>
      <c r="M43" s="11"/>
      <c r="N43" s="11"/>
      <c r="O43" s="11"/>
      <c r="P43" s="11">
        <v>2005</v>
      </c>
      <c r="Q43" s="23">
        <f t="shared" si="0"/>
        <v>1.4501452081316555</v>
      </c>
      <c r="R43" s="23"/>
      <c r="S43" s="24"/>
      <c r="T43" s="11"/>
      <c r="U43" s="11"/>
      <c r="V43" s="11"/>
      <c r="W43" s="11"/>
      <c r="X43" s="11"/>
      <c r="Y43" s="24"/>
      <c r="Z43" s="24"/>
      <c r="AA43" s="11"/>
      <c r="AB43" s="11"/>
      <c r="AC43" s="11"/>
      <c r="AD43" s="14">
        <v>1</v>
      </c>
      <c r="AE43" s="7"/>
      <c r="AF43" s="7"/>
      <c r="AG43" s="7"/>
      <c r="AH43" s="7"/>
      <c r="AI43" s="7"/>
      <c r="AJ43" s="7"/>
      <c r="AK43" s="7"/>
      <c r="AL43" s="7"/>
      <c r="AM43" s="7"/>
      <c r="AN43" s="7"/>
      <c r="AO43" s="7"/>
      <c r="AP43" s="7"/>
      <c r="AQ43" s="7"/>
      <c r="AR43" s="7"/>
      <c r="AS43" s="7"/>
      <c r="AT43" s="7"/>
      <c r="AU43" s="7"/>
      <c r="AV43" s="7"/>
      <c r="AW43" s="36"/>
      <c r="AX43" s="36"/>
      <c r="AY43" s="36"/>
      <c r="AZ43" s="36">
        <v>2006</v>
      </c>
      <c r="BA43" s="42">
        <v>28.215</v>
      </c>
      <c r="BB43" s="42">
        <v>27.609045946627226</v>
      </c>
      <c r="BC43" s="42">
        <v>28.820954053372773</v>
      </c>
      <c r="BD43" s="42">
        <v>43.81</v>
      </c>
      <c r="BE43" s="37">
        <v>43.377454680327595</v>
      </c>
      <c r="BF43" s="37">
        <v>44.242545319672409</v>
      </c>
      <c r="BG43" s="37">
        <v>2.3650000000000002</v>
      </c>
      <c r="BH43" s="37">
        <v>2.3142085296393193</v>
      </c>
      <c r="BI43" s="37">
        <v>2.4157914703606811</v>
      </c>
      <c r="BJ43" s="37">
        <v>1.6700000000000002</v>
      </c>
      <c r="BK43" s="37">
        <v>1.6535117396974912</v>
      </c>
      <c r="BL43" s="37">
        <v>1.6864882603025091</v>
      </c>
      <c r="BM43" s="37">
        <v>31.215</v>
      </c>
      <c r="BN43" s="37">
        <v>30.559480819379651</v>
      </c>
      <c r="BO43" s="37">
        <v>31.870519180620349</v>
      </c>
      <c r="BP43" s="37">
        <v>46.11</v>
      </c>
      <c r="BQ43" s="37">
        <v>45.617853351924303</v>
      </c>
      <c r="BR43" s="37">
        <v>46.602146648075696</v>
      </c>
      <c r="BS43" s="37">
        <v>3.7649999999999997</v>
      </c>
      <c r="BT43" s="37">
        <v>3.6859344957541045</v>
      </c>
      <c r="BU43" s="37">
        <v>3.8440655042458949</v>
      </c>
      <c r="BV43" s="37">
        <v>2.6825000000000001</v>
      </c>
      <c r="BW43" s="37">
        <v>2.6538688270773574</v>
      </c>
      <c r="BX43" s="37">
        <v>2.7111311729226428</v>
      </c>
      <c r="BY43" s="38"/>
      <c r="BZ43" s="38"/>
      <c r="CA43" s="38"/>
    </row>
    <row r="44" spans="1:79" s="35" customFormat="1" x14ac:dyDescent="0.25">
      <c r="A44" s="11">
        <v>2006</v>
      </c>
      <c r="B44" s="23">
        <f>IF($F$5=ref!$B$2,BS43,IF($F$5=ref!$B$3,BG43,IF($F$5="Caries-free at 5 Years of Age",BM43,IF($F$5="Caries-free at Year 8",BA43))))</f>
        <v>3.7649999999999997</v>
      </c>
      <c r="C44" s="24">
        <f>IF($F$5=ref!$B$2,BT43,IF($F$5=ref!$B$3,BH43,IF($F$5="Caries-free at 5 Years of Age",BN43,IF($F$5="Caries-free at Year 8",BB43))))</f>
        <v>3.6859344957541045</v>
      </c>
      <c r="D44" s="24">
        <f>IF($F$5=ref!$B$2,BU43,IF($F$5=ref!$B$3,BI43,IF($F$5="Caries-free at 5 Years of Age",BO43,IF($F$5="Caries-free at Year 8",BC43))))</f>
        <v>3.8440655042458949</v>
      </c>
      <c r="E44" s="23">
        <f>IF($F$5=ref!$B$2,BV43,IF($F$5=ref!$B$3,BJ43,IF($F$5="Caries-free at 5 Years of Age",BP43,IF($F$5="Caries-free at Year 8",BD43))))</f>
        <v>2.6825000000000001</v>
      </c>
      <c r="F44" s="24">
        <f>IF($F$5=ref!$B$2, BW43, IF($F$5 = ref!$B$3, BK43,IF($F$5="Caries-free at 5 Years of Age",BQ43,IF($F$5="Caries-free at Year 8",BE43))))</f>
        <v>2.6538688270773574</v>
      </c>
      <c r="G44" s="24">
        <f>IF($F$5=ref!$B$2, BX43, IF($F$5 = ref!$B$3, BL43,IF($F$5="Caries-free at 5 Years of Age",BR43,IF($F$5="Caries-free at Year 8",BF43))))</f>
        <v>2.7111311729226428</v>
      </c>
      <c r="H44" s="24"/>
      <c r="I44" s="24"/>
      <c r="J44" s="24"/>
      <c r="K44" s="24"/>
      <c r="L44" s="24"/>
      <c r="M44" s="11"/>
      <c r="N44" s="11"/>
      <c r="O44" s="11"/>
      <c r="P44" s="11">
        <v>2006</v>
      </c>
      <c r="Q44" s="23">
        <f t="shared" si="0"/>
        <v>1.4035414725069895</v>
      </c>
      <c r="R44" s="23"/>
      <c r="S44" s="24"/>
      <c r="T44" s="11"/>
      <c r="U44" s="11"/>
      <c r="V44" s="11"/>
      <c r="W44" s="11"/>
      <c r="X44" s="11"/>
      <c r="Y44" s="24"/>
      <c r="Z44" s="24"/>
      <c r="AA44" s="11"/>
      <c r="AB44" s="11"/>
      <c r="AC44" s="11"/>
      <c r="AD44" s="14">
        <v>1</v>
      </c>
      <c r="AE44" s="7"/>
      <c r="AF44" s="7"/>
      <c r="AG44" s="7"/>
      <c r="AH44" s="7"/>
      <c r="AI44" s="7"/>
      <c r="AJ44" s="7"/>
      <c r="AK44" s="7"/>
      <c r="AL44" s="7"/>
      <c r="AM44" s="7"/>
      <c r="AN44" s="7"/>
      <c r="AO44" s="7"/>
      <c r="AP44" s="7"/>
      <c r="AQ44" s="7"/>
      <c r="AR44" s="7"/>
      <c r="AS44" s="7"/>
      <c r="AT44" s="7"/>
      <c r="AU44" s="7"/>
      <c r="AV44" s="7"/>
      <c r="AW44" s="36"/>
      <c r="AX44" s="36"/>
      <c r="AY44" s="36"/>
      <c r="AZ44" s="36">
        <v>2007</v>
      </c>
      <c r="BA44" s="42">
        <v>30.79</v>
      </c>
      <c r="BB44" s="42">
        <v>30.163001521337371</v>
      </c>
      <c r="BC44" s="42">
        <v>31.416998478662627</v>
      </c>
      <c r="BD44" s="42">
        <v>45.8125</v>
      </c>
      <c r="BE44" s="37">
        <v>45.347740238711701</v>
      </c>
      <c r="BF44" s="37">
        <v>46.277259761288299</v>
      </c>
      <c r="BG44" s="37">
        <v>2.4350000000000001</v>
      </c>
      <c r="BH44" s="37">
        <v>2.3854143781895583</v>
      </c>
      <c r="BI44" s="37">
        <v>2.4845856218104418</v>
      </c>
      <c r="BJ44" s="37">
        <v>1.6625000000000001</v>
      </c>
      <c r="BK44" s="37">
        <v>1.645634229672212</v>
      </c>
      <c r="BL44" s="37">
        <v>1.6793657703277882</v>
      </c>
      <c r="BM44" s="37">
        <v>28.98</v>
      </c>
      <c r="BN44" s="37">
        <v>28.338008845948458</v>
      </c>
      <c r="BO44" s="37">
        <v>29.621991154051543</v>
      </c>
      <c r="BP44" s="37">
        <v>44.6175</v>
      </c>
      <c r="BQ44" s="37">
        <v>44.074686316446801</v>
      </c>
      <c r="BR44" s="37">
        <v>45.160313683553198</v>
      </c>
      <c r="BS44" s="37">
        <v>3.64</v>
      </c>
      <c r="BT44" s="37">
        <v>3.5593634299258934</v>
      </c>
      <c r="BU44" s="37">
        <v>3.7206365700741069</v>
      </c>
      <c r="BV44" s="37">
        <v>2.9350000000000001</v>
      </c>
      <c r="BW44" s="37">
        <v>2.8992929755986188</v>
      </c>
      <c r="BX44" s="37">
        <v>2.9707070244013813</v>
      </c>
      <c r="BY44" s="38"/>
      <c r="BZ44" s="38"/>
      <c r="CA44" s="38"/>
    </row>
    <row r="45" spans="1:79" s="35" customFormat="1" x14ac:dyDescent="0.25">
      <c r="A45" s="11">
        <v>2007</v>
      </c>
      <c r="B45" s="23">
        <f>IF($F$5=ref!$B$2,BS44,IF($F$5=ref!$B$3,BG44,IF($F$5="Caries-free at 5 Years of Age",BM44,IF($F$5="Caries-free at Year 8",BA44))))</f>
        <v>3.64</v>
      </c>
      <c r="C45" s="24">
        <f>IF($F$5=ref!$B$2,BT44,IF($F$5=ref!$B$3,BH44,IF($F$5="Caries-free at 5 Years of Age",BN44,IF($F$5="Caries-free at Year 8",BB44))))</f>
        <v>3.5593634299258934</v>
      </c>
      <c r="D45" s="24">
        <f>IF($F$5=ref!$B$2,BU44,IF($F$5=ref!$B$3,BI44,IF($F$5="Caries-free at 5 Years of Age",BO44,IF($F$5="Caries-free at Year 8",BC44))))</f>
        <v>3.7206365700741069</v>
      </c>
      <c r="E45" s="23">
        <f>IF($F$5=ref!$B$2,BV44,IF($F$5=ref!$B$3,BJ44,IF($F$5="Caries-free at 5 Years of Age",BP44,IF($F$5="Caries-free at Year 8",BD44))))</f>
        <v>2.9350000000000001</v>
      </c>
      <c r="F45" s="24">
        <f>IF($F$5=ref!$B$2, BW44, IF($F$5 = ref!$B$3, BK44,IF($F$5="Caries-free at 5 Years of Age",BQ44,IF($F$5="Caries-free at Year 8",BE44))))</f>
        <v>2.8992929755986188</v>
      </c>
      <c r="G45" s="24">
        <f>IF($F$5=ref!$B$2, BX44, IF($F$5 = ref!$B$3, BL44,IF($F$5="Caries-free at 5 Years of Age",BR44,IF($F$5="Caries-free at Year 8",BF44))))</f>
        <v>2.9707070244013813</v>
      </c>
      <c r="H45" s="24"/>
      <c r="I45" s="24"/>
      <c r="J45" s="24"/>
      <c r="K45" s="24"/>
      <c r="L45" s="24"/>
      <c r="M45" s="11"/>
      <c r="N45" s="11"/>
      <c r="O45" s="11"/>
      <c r="P45" s="11">
        <v>2007</v>
      </c>
      <c r="Q45" s="23">
        <f t="shared" si="0"/>
        <v>1.2402044293015333</v>
      </c>
      <c r="R45" s="23"/>
      <c r="S45" s="24"/>
      <c r="T45" s="11"/>
      <c r="U45" s="11"/>
      <c r="V45" s="11"/>
      <c r="W45" s="11"/>
      <c r="X45" s="11"/>
      <c r="Y45" s="24"/>
      <c r="Z45" s="24"/>
      <c r="AA45" s="11"/>
      <c r="AB45" s="11"/>
      <c r="AC45" s="11"/>
      <c r="AD45" s="14">
        <v>1</v>
      </c>
      <c r="AE45" s="7"/>
      <c r="AF45" s="7"/>
      <c r="AG45" s="7"/>
      <c r="AH45" s="7"/>
      <c r="AI45" s="7"/>
      <c r="AJ45" s="7"/>
      <c r="AK45" s="7"/>
      <c r="AL45" s="7"/>
      <c r="AM45" s="7"/>
      <c r="AN45" s="7"/>
      <c r="AO45" s="7"/>
      <c r="AP45" s="7"/>
      <c r="AQ45" s="7"/>
      <c r="AR45" s="7"/>
      <c r="AS45" s="7"/>
      <c r="AT45" s="7"/>
      <c r="AU45" s="7"/>
      <c r="AV45" s="7"/>
      <c r="AW45" s="36"/>
      <c r="AX45" s="36"/>
      <c r="AY45" s="36"/>
      <c r="AZ45" s="36">
        <v>2008</v>
      </c>
      <c r="BA45" s="42">
        <v>37.24</v>
      </c>
      <c r="BB45" s="42">
        <v>36.491921334114558</v>
      </c>
      <c r="BC45" s="42">
        <v>37.988078665885446</v>
      </c>
      <c r="BD45" s="42">
        <v>49.480000000000004</v>
      </c>
      <c r="BE45" s="37">
        <v>48.979280086195281</v>
      </c>
      <c r="BF45" s="37">
        <v>49.980719913804727</v>
      </c>
      <c r="BG45" s="37">
        <v>2.19</v>
      </c>
      <c r="BH45" s="37">
        <v>2.1460071890899806</v>
      </c>
      <c r="BI45" s="37">
        <v>2.2339928109100193</v>
      </c>
      <c r="BJ45" s="37">
        <v>1.5275000000000001</v>
      </c>
      <c r="BK45" s="37">
        <v>1.5120422459915781</v>
      </c>
      <c r="BL45" s="37">
        <v>1.5429577540084221</v>
      </c>
      <c r="BM45" s="37">
        <v>36.004999999999995</v>
      </c>
      <c r="BN45" s="37">
        <v>35.249367123055706</v>
      </c>
      <c r="BO45" s="37">
        <v>36.760632876944285</v>
      </c>
      <c r="BP45" s="37">
        <v>48.745000000000005</v>
      </c>
      <c r="BQ45" s="37">
        <v>48.198090802284703</v>
      </c>
      <c r="BR45" s="37">
        <v>49.291909197715306</v>
      </c>
      <c r="BS45" s="37">
        <v>3.5150000000000001</v>
      </c>
      <c r="BT45" s="37">
        <v>3.4412310911690276</v>
      </c>
      <c r="BU45" s="37">
        <v>3.5887689088309727</v>
      </c>
      <c r="BV45" s="37">
        <v>2.48</v>
      </c>
      <c r="BW45" s="37">
        <v>2.452174893623265</v>
      </c>
      <c r="BX45" s="37">
        <v>2.5078251063767349</v>
      </c>
      <c r="BY45" s="38"/>
      <c r="BZ45" s="38"/>
      <c r="CA45" s="38"/>
    </row>
    <row r="46" spans="1:79" s="35" customFormat="1" x14ac:dyDescent="0.25">
      <c r="A46" s="11">
        <v>2008</v>
      </c>
      <c r="B46" s="23">
        <f>IF($F$5=ref!$B$2,BS45,IF($F$5=ref!$B$3,BG45,IF($F$5="Caries-free at 5 Years of Age",BM45,IF($F$5="Caries-free at Year 8",BA45))))</f>
        <v>3.5150000000000001</v>
      </c>
      <c r="C46" s="24">
        <f>IF($F$5=ref!$B$2,BT45,IF($F$5=ref!$B$3,BH45,IF($F$5="Caries-free at 5 Years of Age",BN45,IF($F$5="Caries-free at Year 8",BB45))))</f>
        <v>3.4412310911690276</v>
      </c>
      <c r="D46" s="24">
        <f>IF($F$5=ref!$B$2,BU45,IF($F$5=ref!$B$3,BI45,IF($F$5="Caries-free at 5 Years of Age",BO45,IF($F$5="Caries-free at Year 8",BC45))))</f>
        <v>3.5887689088309727</v>
      </c>
      <c r="E46" s="23">
        <f>IF($F$5=ref!$B$2,BV45,IF($F$5=ref!$B$3,BJ45,IF($F$5="Caries-free at 5 Years of Age",BP45,IF($F$5="Caries-free at Year 8",BD45))))</f>
        <v>2.48</v>
      </c>
      <c r="F46" s="24">
        <f>IF($F$5=ref!$B$2, BW45, IF($F$5 = ref!$B$3, BK45,IF($F$5="Caries-free at 5 Years of Age",BQ45,IF($F$5="Caries-free at Year 8",BE45))))</f>
        <v>2.452174893623265</v>
      </c>
      <c r="G46" s="24">
        <f>IF($F$5=ref!$B$2, BX45, IF($F$5 = ref!$B$3, BL45,IF($F$5="Caries-free at 5 Years of Age",BR45,IF($F$5="Caries-free at Year 8",BF45))))</f>
        <v>2.5078251063767349</v>
      </c>
      <c r="H46" s="24"/>
      <c r="I46" s="24"/>
      <c r="J46" s="24"/>
      <c r="K46" s="24"/>
      <c r="L46" s="24"/>
      <c r="M46" s="11"/>
      <c r="N46" s="11"/>
      <c r="O46" s="11"/>
      <c r="P46" s="11">
        <v>2008</v>
      </c>
      <c r="Q46" s="23">
        <f t="shared" si="0"/>
        <v>1.4173387096774195</v>
      </c>
      <c r="R46" s="23"/>
      <c r="S46" s="24"/>
      <c r="T46" s="11"/>
      <c r="U46" s="11"/>
      <c r="V46" s="11"/>
      <c r="W46" s="11"/>
      <c r="X46" s="11"/>
      <c r="Y46" s="24"/>
      <c r="Z46" s="24"/>
      <c r="AA46" s="11"/>
      <c r="AB46" s="11"/>
      <c r="AC46" s="11"/>
      <c r="AD46" s="14">
        <v>1</v>
      </c>
      <c r="AE46" s="7"/>
      <c r="AF46" s="7"/>
      <c r="AG46" s="7"/>
      <c r="AH46" s="7"/>
      <c r="AI46" s="7"/>
      <c r="AJ46" s="7"/>
      <c r="AK46" s="7"/>
      <c r="AL46" s="7"/>
      <c r="AM46" s="7"/>
      <c r="AN46" s="7"/>
      <c r="AO46" s="7"/>
      <c r="AP46" s="7"/>
      <c r="AQ46" s="7"/>
      <c r="AR46" s="7"/>
      <c r="AS46" s="7"/>
      <c r="AT46" s="7"/>
      <c r="AU46" s="7"/>
      <c r="AV46" s="7"/>
      <c r="AW46" s="36"/>
      <c r="AX46" s="36"/>
      <c r="AY46" s="36"/>
      <c r="AZ46" s="36">
        <v>2009</v>
      </c>
      <c r="BA46" s="42">
        <v>41.01</v>
      </c>
      <c r="BB46" s="42">
        <v>40.172075813959374</v>
      </c>
      <c r="BC46" s="42">
        <v>41.847924186040622</v>
      </c>
      <c r="BD46" s="42">
        <v>47.197500000000005</v>
      </c>
      <c r="BE46" s="37">
        <v>46.716695425559394</v>
      </c>
      <c r="BF46" s="37">
        <v>47.678304574440617</v>
      </c>
      <c r="BG46" s="37">
        <v>2.06</v>
      </c>
      <c r="BH46" s="37">
        <v>2.0179096848757943</v>
      </c>
      <c r="BI46" s="37">
        <v>2.1020903151242059</v>
      </c>
      <c r="BJ46" s="37">
        <v>1.6099999999999999</v>
      </c>
      <c r="BK46" s="37">
        <v>1.5935988057662083</v>
      </c>
      <c r="BL46" s="37">
        <v>1.6264011942337915</v>
      </c>
      <c r="BM46" s="37">
        <v>34.305</v>
      </c>
      <c r="BN46" s="37">
        <v>33.63150982290346</v>
      </c>
      <c r="BO46" s="37">
        <v>34.978490177096539</v>
      </c>
      <c r="BP46" s="37">
        <v>47.82</v>
      </c>
      <c r="BQ46" s="37">
        <v>47.309116954557709</v>
      </c>
      <c r="BR46" s="37">
        <v>48.330883045442292</v>
      </c>
      <c r="BS46" s="37">
        <v>3.88</v>
      </c>
      <c r="BT46" s="37">
        <v>3.8038262093824637</v>
      </c>
      <c r="BU46" s="37">
        <v>3.956173790617536</v>
      </c>
      <c r="BV46" s="37">
        <v>2.5925000000000002</v>
      </c>
      <c r="BW46" s="37">
        <v>2.5648031305874297</v>
      </c>
      <c r="BX46" s="37">
        <v>2.6201968694125708</v>
      </c>
      <c r="BY46" s="38"/>
      <c r="BZ46" s="38"/>
      <c r="CA46" s="38"/>
    </row>
    <row r="47" spans="1:79" s="35" customFormat="1" x14ac:dyDescent="0.25">
      <c r="A47" s="11">
        <v>2009</v>
      </c>
      <c r="B47" s="23">
        <f>IF($F$5=ref!$B$2,BS46,IF($F$5=ref!$B$3,BG46,IF($F$5="Caries-free at 5 Years of Age",BM46,IF($F$5="Caries-free at Year 8",BA46))))</f>
        <v>3.88</v>
      </c>
      <c r="C47" s="24">
        <f>IF($F$5=ref!$B$2,BT46,IF($F$5=ref!$B$3,BH46,IF($F$5="Caries-free at 5 Years of Age",BN46,IF($F$5="Caries-free at Year 8",BB46))))</f>
        <v>3.8038262093824637</v>
      </c>
      <c r="D47" s="24">
        <f>IF($F$5=ref!$B$2,BU46,IF($F$5=ref!$B$3,BI46,IF($F$5="Caries-free at 5 Years of Age",BO46,IF($F$5="Caries-free at Year 8",BC46))))</f>
        <v>3.956173790617536</v>
      </c>
      <c r="E47" s="23">
        <f>IF($F$5=ref!$B$2,BV46,IF($F$5=ref!$B$3,BJ46,IF($F$5="Caries-free at 5 Years of Age",BP46,IF($F$5="Caries-free at Year 8",BD46))))</f>
        <v>2.5925000000000002</v>
      </c>
      <c r="F47" s="24">
        <f>IF($F$5=ref!$B$2, BW46, IF($F$5 = ref!$B$3, BK46,IF($F$5="Caries-free at 5 Years of Age",BQ46,IF($F$5="Caries-free at Year 8",BE46))))</f>
        <v>2.5648031305874297</v>
      </c>
      <c r="G47" s="24">
        <f>IF($F$5=ref!$B$2, BX46, IF($F$5 = ref!$B$3, BL46,IF($F$5="Caries-free at 5 Years of Age",BR46,IF($F$5="Caries-free at Year 8",BF46))))</f>
        <v>2.6201968694125708</v>
      </c>
      <c r="H47" s="24"/>
      <c r="I47" s="24"/>
      <c r="J47" s="24"/>
      <c r="K47" s="24"/>
      <c r="L47" s="24"/>
      <c r="M47" s="11"/>
      <c r="N47" s="11"/>
      <c r="O47" s="11"/>
      <c r="P47" s="11">
        <v>2009</v>
      </c>
      <c r="Q47" s="23">
        <f t="shared" si="0"/>
        <v>1.4966248794599806</v>
      </c>
      <c r="R47" s="23"/>
      <c r="S47" s="24"/>
      <c r="T47" s="22"/>
      <c r="U47" s="22"/>
      <c r="V47" s="22"/>
      <c r="W47" s="22"/>
      <c r="X47" s="22"/>
      <c r="Y47" s="25"/>
      <c r="Z47" s="25"/>
      <c r="AA47" s="22"/>
      <c r="AB47" s="11"/>
      <c r="AC47" s="11"/>
      <c r="AD47" s="14">
        <v>1</v>
      </c>
      <c r="AE47" s="7"/>
      <c r="AF47" s="7"/>
      <c r="AG47" s="7"/>
      <c r="AH47" s="7"/>
      <c r="AI47" s="7"/>
      <c r="AJ47" s="7"/>
      <c r="AK47" s="7"/>
      <c r="AL47" s="7"/>
      <c r="AM47" s="7"/>
      <c r="AN47" s="7"/>
      <c r="AO47" s="7"/>
      <c r="AP47" s="7"/>
      <c r="AQ47" s="7"/>
      <c r="AR47" s="7"/>
      <c r="AS47" s="7"/>
      <c r="AT47" s="7"/>
      <c r="AU47" s="7"/>
      <c r="AV47" s="7"/>
      <c r="AW47" s="36"/>
      <c r="AX47" s="36"/>
      <c r="AY47" s="36"/>
      <c r="AZ47" s="36">
        <v>2010</v>
      </c>
      <c r="BA47" s="42">
        <v>39.865000000000002</v>
      </c>
      <c r="BB47" s="42">
        <v>39.063052201787002</v>
      </c>
      <c r="BC47" s="42">
        <v>40.666947798213002</v>
      </c>
      <c r="BD47" s="42">
        <v>49.540000000000006</v>
      </c>
      <c r="BE47" s="37">
        <v>49.036885974904607</v>
      </c>
      <c r="BF47" s="37">
        <v>50.043114025095406</v>
      </c>
      <c r="BG47" s="37">
        <v>1.9100000000000001</v>
      </c>
      <c r="BH47" s="37">
        <v>1.8715773160770897</v>
      </c>
      <c r="BI47" s="37">
        <v>1.9484226839229106</v>
      </c>
      <c r="BJ47" s="37">
        <v>1.3224999999999998</v>
      </c>
      <c r="BK47" s="37">
        <v>1.3090690694754001</v>
      </c>
      <c r="BL47" s="37">
        <v>1.3359309305245994</v>
      </c>
      <c r="BM47" s="37">
        <v>37.93</v>
      </c>
      <c r="BN47" s="37">
        <v>37.18912362948403</v>
      </c>
      <c r="BO47" s="37">
        <v>38.67087637051597</v>
      </c>
      <c r="BP47" s="37">
        <v>48.822499999999998</v>
      </c>
      <c r="BQ47" s="37">
        <v>48.308672010726717</v>
      </c>
      <c r="BR47" s="37">
        <v>49.336327989273279</v>
      </c>
      <c r="BS47" s="37">
        <v>3.1349999999999998</v>
      </c>
      <c r="BT47" s="37">
        <v>3.0737648979286165</v>
      </c>
      <c r="BU47" s="37">
        <v>3.1962351020713831</v>
      </c>
      <c r="BV47" s="37">
        <v>2.4500000000000002</v>
      </c>
      <c r="BW47" s="37">
        <v>2.4242151964008496</v>
      </c>
      <c r="BX47" s="37">
        <v>2.4757848035991508</v>
      </c>
      <c r="BY47" s="38"/>
      <c r="BZ47" s="38"/>
      <c r="CA47" s="38"/>
    </row>
    <row r="48" spans="1:79" s="35" customFormat="1" x14ac:dyDescent="0.25">
      <c r="A48" s="11">
        <v>2010</v>
      </c>
      <c r="B48" s="23">
        <f>IF($F$5=ref!$B$2,BS47,IF($F$5=ref!$B$3,BG47,IF($F$5="Caries-free at 5 Years of Age",BM47,IF($F$5="Caries-free at Year 8",BA47))))</f>
        <v>3.1349999999999998</v>
      </c>
      <c r="C48" s="24">
        <f>IF($F$5=ref!$B$2,BT47,IF($F$5=ref!$B$3,BH47,IF($F$5="Caries-free at 5 Years of Age",BN47,IF($F$5="Caries-free at Year 8",BB47))))</f>
        <v>3.0737648979286165</v>
      </c>
      <c r="D48" s="24">
        <f>IF($F$5=ref!$B$2,BU47,IF($F$5=ref!$B$3,BI47,IF($F$5="Caries-free at 5 Years of Age",BO47,IF($F$5="Caries-free at Year 8",BC47))))</f>
        <v>3.1962351020713831</v>
      </c>
      <c r="E48" s="23">
        <f>IF($F$5=ref!$B$2,BV47,IF($F$5=ref!$B$3,BJ47,IF($F$5="Caries-free at 5 Years of Age",BP47,IF($F$5="Caries-free at Year 8",BD47))))</f>
        <v>2.4500000000000002</v>
      </c>
      <c r="F48" s="24">
        <f>IF($F$5=ref!$B$2, BW47, IF($F$5 = ref!$B$3, BK47,IF($F$5="Caries-free at 5 Years of Age",BQ47,IF($F$5="Caries-free at Year 8",BE47))))</f>
        <v>2.4242151964008496</v>
      </c>
      <c r="G48" s="24">
        <f>IF($F$5=ref!$B$2, BX47, IF($F$5 = ref!$B$3, BL47,IF($F$5="Caries-free at 5 Years of Age",BR47,IF($F$5="Caries-free at Year 8",BF47))))</f>
        <v>2.4757848035991508</v>
      </c>
      <c r="H48" s="24"/>
      <c r="I48" s="24"/>
      <c r="J48" s="24"/>
      <c r="K48" s="24"/>
      <c r="L48" s="24"/>
      <c r="M48" s="24"/>
      <c r="N48" s="24"/>
      <c r="O48" s="11"/>
      <c r="P48" s="11">
        <v>2010</v>
      </c>
      <c r="Q48" s="23">
        <f t="shared" si="0"/>
        <v>1.2795918367346937</v>
      </c>
      <c r="R48" s="23"/>
      <c r="S48" s="24"/>
      <c r="T48" s="11"/>
      <c r="U48" s="11"/>
      <c r="V48" s="11"/>
      <c r="W48" s="11"/>
      <c r="X48" s="11"/>
      <c r="Y48" s="11"/>
      <c r="Z48" s="11"/>
      <c r="AA48" s="11"/>
      <c r="AB48" s="11"/>
      <c r="AC48" s="11"/>
      <c r="AD48" s="14">
        <v>1</v>
      </c>
      <c r="AE48" s="7"/>
      <c r="AF48" s="7"/>
      <c r="AG48" s="7"/>
      <c r="AH48" s="7"/>
      <c r="AI48" s="7"/>
      <c r="AJ48" s="7"/>
      <c r="AK48" s="7"/>
      <c r="AL48" s="7"/>
      <c r="AM48" s="7"/>
      <c r="AN48" s="7"/>
      <c r="AO48" s="7"/>
      <c r="AP48" s="7"/>
      <c r="AQ48" s="7"/>
      <c r="AR48" s="7"/>
      <c r="AS48" s="7"/>
      <c r="AT48" s="7"/>
      <c r="AU48" s="7"/>
      <c r="AV48" s="7"/>
      <c r="AW48" s="36"/>
      <c r="AX48" s="36"/>
      <c r="AY48" s="36"/>
      <c r="AZ48" s="36">
        <v>2011</v>
      </c>
      <c r="BA48" s="42">
        <v>45.545000000000002</v>
      </c>
      <c r="BB48" s="42">
        <v>44.597373786967736</v>
      </c>
      <c r="BC48" s="42">
        <v>46.492626213032267</v>
      </c>
      <c r="BD48" s="42">
        <v>48.564999999999998</v>
      </c>
      <c r="BE48" s="37">
        <v>48.061813531567374</v>
      </c>
      <c r="BF48" s="37">
        <v>49.068186468432621</v>
      </c>
      <c r="BG48" s="37">
        <v>1.5249999999999999</v>
      </c>
      <c r="BH48" s="37">
        <v>1.4932702826902138</v>
      </c>
      <c r="BI48" s="37">
        <v>1.556729717309786</v>
      </c>
      <c r="BJ48" s="37">
        <v>1.4850000000000001</v>
      </c>
      <c r="BK48" s="37">
        <v>1.4696137772959448</v>
      </c>
      <c r="BL48" s="37">
        <v>1.5003862227040554</v>
      </c>
      <c r="BM48" s="37">
        <v>40.950000000000003</v>
      </c>
      <c r="BN48" s="37">
        <v>40.142070616989393</v>
      </c>
      <c r="BO48" s="37">
        <v>41.757929383010612</v>
      </c>
      <c r="BP48" s="37">
        <v>51.647500000000001</v>
      </c>
      <c r="BQ48" s="37">
        <v>51.084071757585981</v>
      </c>
      <c r="BR48" s="37">
        <v>52.21092824241402</v>
      </c>
      <c r="BS48" s="37">
        <v>3.0650000000000004</v>
      </c>
      <c r="BT48" s="37">
        <v>3.0045286066195969</v>
      </c>
      <c r="BU48" s="37">
        <v>3.1254713933804039</v>
      </c>
      <c r="BV48" s="37">
        <v>2.3675000000000002</v>
      </c>
      <c r="BW48" s="37">
        <v>2.3416726828226886</v>
      </c>
      <c r="BX48" s="37">
        <v>2.3933273171773117</v>
      </c>
      <c r="BY48" s="38"/>
      <c r="BZ48" s="38"/>
      <c r="CA48" s="38"/>
    </row>
    <row r="49" spans="1:79" s="35" customFormat="1" x14ac:dyDescent="0.25">
      <c r="A49" s="22">
        <v>2011</v>
      </c>
      <c r="B49" s="23">
        <f>IF($F$5=ref!$B$2,BS48,IF($F$5=ref!$B$3,BG48,IF($F$5="Caries-free at 5 Years of Age",BM48,IF($F$5="Caries-free at Year 8",BA48))))</f>
        <v>3.0650000000000004</v>
      </c>
      <c r="C49" s="24">
        <f>IF($F$5=ref!$B$2,BT48,IF($F$5=ref!$B$3,BH48,IF($F$5="Caries-free at 5 Years of Age",BN48,IF($F$5="Caries-free at Year 8",BB48))))</f>
        <v>3.0045286066195969</v>
      </c>
      <c r="D49" s="24">
        <f>IF($F$5=ref!$B$2,BU48,IF($F$5=ref!$B$3,BI48,IF($F$5="Caries-free at 5 Years of Age",BO48,IF($F$5="Caries-free at Year 8",BC48))))</f>
        <v>3.1254713933804039</v>
      </c>
      <c r="E49" s="23">
        <f>IF($F$5=ref!$B$2,BV48,IF($F$5=ref!$B$3,BJ48,IF($F$5="Caries-free at 5 Years of Age",BP48,IF($F$5="Caries-free at Year 8",BD48))))</f>
        <v>2.3675000000000002</v>
      </c>
      <c r="F49" s="24">
        <f>IF($F$5=ref!$B$2, BW48, IF($F$5 = ref!$B$3, BK48,IF($F$5="Caries-free at 5 Years of Age",BQ48,IF($F$5="Caries-free at Year 8",BE48))))</f>
        <v>2.3416726828226886</v>
      </c>
      <c r="G49" s="24">
        <f>IF($F$5=ref!$B$2, BX48, IF($F$5 = ref!$B$3, BL48,IF($F$5="Caries-free at 5 Years of Age",BR48,IF($F$5="Caries-free at Year 8",BF48))))</f>
        <v>2.3933273171773117</v>
      </c>
      <c r="H49" s="25"/>
      <c r="I49" s="25"/>
      <c r="J49" s="25"/>
      <c r="K49" s="25"/>
      <c r="L49" s="43"/>
      <c r="M49" s="43"/>
      <c r="N49" s="22"/>
      <c r="O49" s="22"/>
      <c r="P49" s="22">
        <v>2011</v>
      </c>
      <c r="Q49" s="44">
        <f t="shared" si="0"/>
        <v>1.2946145723336855</v>
      </c>
      <c r="R49" s="44"/>
      <c r="S49" s="25"/>
      <c r="T49" s="11"/>
      <c r="U49" s="11"/>
      <c r="V49" s="11"/>
      <c r="W49" s="11"/>
      <c r="X49" s="11"/>
      <c r="Y49" s="11"/>
      <c r="Z49" s="11"/>
      <c r="AA49" s="11"/>
      <c r="AB49" s="11"/>
      <c r="AC49" s="11"/>
      <c r="AD49" s="14">
        <v>1</v>
      </c>
      <c r="AE49" s="7"/>
      <c r="AF49" s="7"/>
      <c r="AG49" s="7"/>
      <c r="AH49" s="7"/>
      <c r="AI49" s="7"/>
      <c r="AJ49" s="7"/>
      <c r="AK49" s="7"/>
      <c r="AL49" s="7"/>
      <c r="AM49" s="7"/>
      <c r="AN49" s="7"/>
      <c r="AO49" s="7"/>
      <c r="AP49" s="7"/>
      <c r="AQ49" s="7"/>
      <c r="AR49" s="7"/>
      <c r="AS49" s="7"/>
      <c r="AT49" s="7"/>
      <c r="AU49" s="7"/>
      <c r="AV49" s="7"/>
      <c r="AW49" s="36"/>
      <c r="AX49" s="36"/>
      <c r="AY49" s="36"/>
      <c r="AZ49" s="36">
        <v>2012</v>
      </c>
      <c r="BA49" s="42">
        <v>43.774999999999999</v>
      </c>
      <c r="BB49" s="42">
        <v>42.887260508556935</v>
      </c>
      <c r="BC49" s="42">
        <v>44.662739491443062</v>
      </c>
      <c r="BD49" s="42">
        <v>53.045000000000002</v>
      </c>
      <c r="BE49" s="37">
        <v>52.492282520916241</v>
      </c>
      <c r="BF49" s="37">
        <v>53.597717479083762</v>
      </c>
      <c r="BG49" s="37">
        <v>1.7450000000000001</v>
      </c>
      <c r="BH49" s="37">
        <v>1.7096120979424752</v>
      </c>
      <c r="BI49" s="37">
        <v>1.7803879020575251</v>
      </c>
      <c r="BJ49" s="37">
        <v>1.3374999999999999</v>
      </c>
      <c r="BK49" s="37">
        <v>1.3235635379720136</v>
      </c>
      <c r="BL49" s="37">
        <v>1.3514364620279862</v>
      </c>
      <c r="BM49" s="37">
        <v>38.67</v>
      </c>
      <c r="BN49" s="37">
        <v>37.921951746228373</v>
      </c>
      <c r="BO49" s="37">
        <v>39.41804825377163</v>
      </c>
      <c r="BP49" s="37">
        <v>53.11</v>
      </c>
      <c r="BQ49" s="37">
        <v>52.541561849889305</v>
      </c>
      <c r="BR49" s="37">
        <v>53.678438150110694</v>
      </c>
      <c r="BS49" s="37">
        <v>3.145</v>
      </c>
      <c r="BT49" s="37">
        <v>3.0841618371318398</v>
      </c>
      <c r="BU49" s="37">
        <v>3.2058381628681603</v>
      </c>
      <c r="BV49" s="37">
        <v>2.1950000000000003</v>
      </c>
      <c r="BW49" s="37">
        <v>2.1715068397760695</v>
      </c>
      <c r="BX49" s="37">
        <v>2.2184931602239311</v>
      </c>
      <c r="BY49" s="38"/>
      <c r="BZ49" s="38"/>
      <c r="CA49" s="38"/>
    </row>
    <row r="50" spans="1:79" s="35" customFormat="1" x14ac:dyDescent="0.25">
      <c r="A50" s="22">
        <v>2012</v>
      </c>
      <c r="B50" s="23">
        <f>IF($F$5=ref!$B$2,BS49,IF($F$5=ref!$B$3,BG49,IF($F$5="Caries-free at 5 Years of Age",BM49,IF($F$5="Caries-free at Year 8",BA49))))</f>
        <v>3.145</v>
      </c>
      <c r="C50" s="24">
        <f>IF($F$5=ref!$B$2,BT49,IF($F$5=ref!$B$3,BH49,IF($F$5="Caries-free at 5 Years of Age",BN49,IF($F$5="Caries-free at Year 8",BB49))))</f>
        <v>3.0841618371318398</v>
      </c>
      <c r="D50" s="24">
        <f>IF($F$5=ref!$B$2,BU49,IF($F$5=ref!$B$3,BI49,IF($F$5="Caries-free at 5 Years of Age",BO49,IF($F$5="Caries-free at Year 8",BC49))))</f>
        <v>3.2058381628681603</v>
      </c>
      <c r="E50" s="23">
        <f>IF($F$5=ref!$B$2,BV49,IF($F$5=ref!$B$3,BJ49,IF($F$5="Caries-free at 5 Years of Age",BP49,IF($F$5="Caries-free at Year 8",BD49))))</f>
        <v>2.1950000000000003</v>
      </c>
      <c r="F50" s="24">
        <f>IF($F$5=ref!$B$2, BW49, IF($F$5 = ref!$B$3, BK49,IF($F$5="Caries-free at 5 Years of Age",BQ49,IF($F$5="Caries-free at Year 8",BE49))))</f>
        <v>2.1715068397760695</v>
      </c>
      <c r="G50" s="24">
        <f>IF($F$5=ref!$B$2, BX49, IF($F$5 = ref!$B$3, BL49,IF($F$5="Caries-free at 5 Years of Age",BR49,IF($F$5="Caries-free at Year 8",BF49))))</f>
        <v>2.2184931602239311</v>
      </c>
      <c r="H50" s="25"/>
      <c r="I50" s="25"/>
      <c r="J50" s="25"/>
      <c r="K50" s="25"/>
      <c r="L50" s="25"/>
      <c r="M50" s="22"/>
      <c r="N50" s="22"/>
      <c r="O50" s="22"/>
      <c r="P50" s="22">
        <v>2012</v>
      </c>
      <c r="Q50" s="44">
        <f t="shared" si="0"/>
        <v>1.4328018223234622</v>
      </c>
      <c r="R50" s="44"/>
      <c r="S50" s="25"/>
      <c r="T50" s="11"/>
      <c r="U50" s="11"/>
      <c r="V50" s="11"/>
      <c r="W50" s="11"/>
      <c r="X50" s="11"/>
      <c r="Y50" s="11"/>
      <c r="Z50" s="11"/>
      <c r="AA50" s="11"/>
      <c r="AB50" s="11"/>
      <c r="AC50" s="11"/>
      <c r="AD50" s="14">
        <v>1</v>
      </c>
      <c r="AE50" s="7"/>
      <c r="AF50" s="7"/>
      <c r="AG50" s="7"/>
      <c r="AH50" s="7"/>
      <c r="AI50" s="7"/>
      <c r="AJ50" s="7"/>
      <c r="AK50" s="7"/>
      <c r="AL50" s="7"/>
      <c r="AM50" s="7"/>
      <c r="AN50" s="7"/>
      <c r="AO50" s="7"/>
      <c r="AP50" s="7"/>
      <c r="AQ50" s="7"/>
      <c r="AR50" s="7"/>
      <c r="AS50" s="7"/>
      <c r="AT50" s="7"/>
      <c r="AU50" s="7"/>
      <c r="AV50" s="7"/>
      <c r="AW50" s="36"/>
      <c r="AX50" s="36"/>
      <c r="AY50" s="36"/>
      <c r="AZ50" s="36">
        <v>2013</v>
      </c>
      <c r="BA50" s="37">
        <v>42.92</v>
      </c>
      <c r="BB50" s="37">
        <v>42.080612625363401</v>
      </c>
      <c r="BC50" s="37">
        <v>43.759387374636603</v>
      </c>
      <c r="BD50" s="37">
        <v>49.795000000000002</v>
      </c>
      <c r="BE50" s="37">
        <v>49.288595597375561</v>
      </c>
      <c r="BF50" s="37">
        <v>50.301404402624442</v>
      </c>
      <c r="BG50" s="37">
        <v>1.6850000000000001</v>
      </c>
      <c r="BH50" s="37">
        <v>1.6520464183070207</v>
      </c>
      <c r="BI50" s="37">
        <v>1.7179535816929794</v>
      </c>
      <c r="BJ50" s="37">
        <v>1.3075000000000001</v>
      </c>
      <c r="BK50" s="37">
        <v>1.2942030072008948</v>
      </c>
      <c r="BL50" s="37">
        <v>1.3207969927991055</v>
      </c>
      <c r="BM50" s="37">
        <v>37.409999999999997</v>
      </c>
      <c r="BN50" s="37">
        <v>36.712344118077006</v>
      </c>
      <c r="BO50" s="37">
        <v>38.107655881922987</v>
      </c>
      <c r="BP50" s="37">
        <v>50.14</v>
      </c>
      <c r="BQ50" s="37">
        <v>49.636379573808618</v>
      </c>
      <c r="BR50" s="37">
        <v>50.643620426191383</v>
      </c>
      <c r="BS50" s="37">
        <v>3.1150000000000002</v>
      </c>
      <c r="BT50" s="37">
        <v>3.0569086321253645</v>
      </c>
      <c r="BU50" s="37">
        <v>3.173091367874636</v>
      </c>
      <c r="BV50" s="37">
        <v>2.395</v>
      </c>
      <c r="BW50" s="37">
        <v>2.3709439385574718</v>
      </c>
      <c r="BX50" s="37">
        <v>2.4190560614425283</v>
      </c>
      <c r="BY50" s="38"/>
      <c r="BZ50" s="38"/>
      <c r="CA50" s="38"/>
    </row>
    <row r="51" spans="1:79" s="35" customFormat="1" x14ac:dyDescent="0.25">
      <c r="A51" s="11">
        <v>2013</v>
      </c>
      <c r="B51" s="23">
        <f>IF($F$5=ref!$B$2,BS50,IF($F$5=ref!$B$3,BG50,IF($F$5="Caries-free at 5 Years of Age",BM50,IF($F$5="Caries-free at Year 8",BA50))))</f>
        <v>3.1150000000000002</v>
      </c>
      <c r="C51" s="24">
        <f>IF($F$5=ref!$B$2,BT50,IF($F$5=ref!$B$3,BH50,IF($F$5="Caries-free at 5 Years of Age",BN50,IF($F$5="Caries-free at Year 8",BB50))))</f>
        <v>3.0569086321253645</v>
      </c>
      <c r="D51" s="24">
        <f>IF($F$5=ref!$B$2,BU50,IF($F$5=ref!$B$3,BI50,IF($F$5="Caries-free at 5 Years of Age",BO50,IF($F$5="Caries-free at Year 8",BC50))))</f>
        <v>3.173091367874636</v>
      </c>
      <c r="E51" s="23">
        <f>IF($F$5=ref!$B$2,BV50,IF($F$5=ref!$B$3,BJ50,IF($F$5="Caries-free at 5 Years of Age",BP50,IF($F$5="Caries-free at Year 8",BD50))))</f>
        <v>2.395</v>
      </c>
      <c r="F51" s="24">
        <f>IF($F$5=ref!$B$2, BW50, IF($F$5 = ref!$B$3, BK50,IF($F$5="Caries-free at 5 Years of Age",BQ50,IF($F$5="Caries-free at Year 8",BE50))))</f>
        <v>2.3709439385574718</v>
      </c>
      <c r="G51" s="24">
        <f>IF($F$5=ref!$B$2, BX50, IF($F$5 = ref!$B$3, BL50,IF($F$5="Caries-free at 5 Years of Age",BR50,IF($F$5="Caries-free at Year 8",BF50))))</f>
        <v>2.4190560614425283</v>
      </c>
      <c r="H51" s="25"/>
      <c r="I51" s="25"/>
      <c r="J51" s="25"/>
      <c r="K51" s="25"/>
      <c r="L51" s="25"/>
      <c r="M51" s="22"/>
      <c r="N51" s="22"/>
      <c r="O51" s="22"/>
      <c r="P51" s="11">
        <v>2013</v>
      </c>
      <c r="Q51" s="44">
        <f t="shared" ref="Q51:Q54" si="1">B51/E51</f>
        <v>1.3006263048016702</v>
      </c>
      <c r="R51" s="44"/>
      <c r="S51" s="25"/>
      <c r="T51" s="11"/>
      <c r="U51" s="11"/>
      <c r="V51" s="11"/>
      <c r="W51" s="11"/>
      <c r="X51" s="11"/>
      <c r="Y51" s="11"/>
      <c r="Z51" s="11"/>
      <c r="AA51" s="11"/>
      <c r="AB51" s="11"/>
      <c r="AC51" s="11"/>
      <c r="AD51" s="14">
        <v>1</v>
      </c>
      <c r="AE51" s="7"/>
      <c r="AF51" s="7"/>
      <c r="AG51" s="7"/>
      <c r="AH51" s="7"/>
      <c r="AI51" s="7"/>
      <c r="AJ51" s="7"/>
      <c r="AK51" s="7"/>
      <c r="AL51" s="7"/>
      <c r="AM51" s="7"/>
      <c r="AN51" s="7"/>
      <c r="AO51" s="7"/>
      <c r="AP51" s="7"/>
      <c r="AQ51" s="7"/>
      <c r="AR51" s="7"/>
      <c r="AS51" s="7"/>
      <c r="AT51" s="7"/>
      <c r="AU51" s="7"/>
      <c r="AV51" s="7"/>
      <c r="AW51" s="36"/>
      <c r="AX51" s="36"/>
      <c r="AY51" s="36"/>
      <c r="AZ51" s="36">
        <v>2014</v>
      </c>
      <c r="BA51" s="37">
        <v>47.89</v>
      </c>
      <c r="BB51" s="37">
        <v>46.889515818910731</v>
      </c>
      <c r="BC51" s="37">
        <v>48.890484181089271</v>
      </c>
      <c r="BD51" s="37">
        <v>52.972499999999997</v>
      </c>
      <c r="BE51" s="37">
        <v>52.416333085518779</v>
      </c>
      <c r="BF51" s="37">
        <v>53.528666914481214</v>
      </c>
      <c r="BG51" s="37">
        <v>1.66</v>
      </c>
      <c r="BH51" s="37">
        <v>1.6253204480975529</v>
      </c>
      <c r="BI51" s="37">
        <v>1.6946795519024469</v>
      </c>
      <c r="BJ51" s="37">
        <v>1.2450000000000001</v>
      </c>
      <c r="BK51" s="37">
        <v>1.231928542007096</v>
      </c>
      <c r="BL51" s="37">
        <v>1.2580714579929042</v>
      </c>
      <c r="BM51" s="37">
        <v>40.045000000000002</v>
      </c>
      <c r="BN51" s="37">
        <v>39.264322338146243</v>
      </c>
      <c r="BO51" s="37">
        <v>40.82567766185376</v>
      </c>
      <c r="BP51" s="37">
        <v>51.432500000000005</v>
      </c>
      <c r="BQ51" s="37">
        <v>50.845932675410516</v>
      </c>
      <c r="BR51" s="37">
        <v>52.019067324589493</v>
      </c>
      <c r="BS51" s="37">
        <v>2.94</v>
      </c>
      <c r="BT51" s="37">
        <v>2.8826846715982009</v>
      </c>
      <c r="BU51" s="37">
        <v>2.997315328401799</v>
      </c>
      <c r="BV51" s="37">
        <v>2.3450000000000002</v>
      </c>
      <c r="BW51" s="37">
        <v>2.3182562022813915</v>
      </c>
      <c r="BX51" s="37">
        <v>2.3717437977186089</v>
      </c>
      <c r="BY51" s="38"/>
      <c r="BZ51" s="38"/>
      <c r="CA51" s="38"/>
    </row>
    <row r="52" spans="1:79" s="35" customFormat="1" x14ac:dyDescent="0.25">
      <c r="A52" s="22">
        <v>2014</v>
      </c>
      <c r="B52" s="23">
        <f>IF($F$5=ref!$B$2,BS51,IF($F$5=ref!$B$3,BG51,IF($F$5="Caries-free at 5 Years of Age",BM51,IF($F$5="Caries-free at Year 8",BA51))))</f>
        <v>2.94</v>
      </c>
      <c r="C52" s="24">
        <f>IF($F$5=ref!$B$2,BT51,IF($F$5=ref!$B$3,BH51,IF($F$5="Caries-free at 5 Years of Age",BN51,IF($F$5="Caries-free at Year 8",BB51))))</f>
        <v>2.8826846715982009</v>
      </c>
      <c r="D52" s="24">
        <f>IF($F$5=ref!$B$2,BU51,IF($F$5=ref!$B$3,BI51,IF($F$5="Caries-free at 5 Years of Age",BO51,IF($F$5="Caries-free at Year 8",BC51))))</f>
        <v>2.997315328401799</v>
      </c>
      <c r="E52" s="23">
        <f>IF($F$5=ref!$B$2,BV51,IF($F$5=ref!$B$3,BJ51,IF($F$5="Caries-free at 5 Years of Age",BP51,IF($F$5="Caries-free at Year 8",BD51))))</f>
        <v>2.3450000000000002</v>
      </c>
      <c r="F52" s="24">
        <f>IF($F$5=ref!$B$2, BW51, IF($F$5 = ref!$B$3, BK51,IF($F$5="Caries-free at 5 Years of Age",BQ51,IF($F$5="Caries-free at Year 8",BE51))))</f>
        <v>2.3182562022813915</v>
      </c>
      <c r="G52" s="24">
        <f>IF($F$5=ref!$B$2, BX51, IF($F$5 = ref!$B$3, BL51,IF($F$5="Caries-free at 5 Years of Age",BR51,IF($F$5="Caries-free at Year 8",BF51))))</f>
        <v>2.3717437977186089</v>
      </c>
      <c r="H52" s="25"/>
      <c r="I52" s="25"/>
      <c r="J52" s="25"/>
      <c r="K52" s="11"/>
      <c r="L52" s="11"/>
      <c r="M52" s="11"/>
      <c r="N52" s="11"/>
      <c r="O52" s="11"/>
      <c r="P52" s="22">
        <v>2014</v>
      </c>
      <c r="Q52" s="44">
        <f t="shared" si="1"/>
        <v>1.2537313432835819</v>
      </c>
      <c r="R52" s="44"/>
      <c r="S52" s="25"/>
      <c r="T52" s="11"/>
      <c r="U52" s="11"/>
      <c r="V52" s="11"/>
      <c r="W52" s="11"/>
      <c r="X52" s="11"/>
      <c r="Y52" s="11"/>
      <c r="Z52" s="11"/>
      <c r="AA52" s="11"/>
      <c r="AB52" s="11"/>
      <c r="AC52" s="11"/>
      <c r="AD52" s="14">
        <v>1</v>
      </c>
      <c r="AE52" s="7"/>
      <c r="AF52" s="7"/>
      <c r="AG52" s="7"/>
      <c r="AH52" s="7"/>
      <c r="AI52" s="7"/>
      <c r="AJ52" s="7"/>
      <c r="AK52" s="7"/>
      <c r="AL52" s="7"/>
      <c r="AM52" s="7"/>
      <c r="AN52" s="7"/>
      <c r="AO52" s="7"/>
      <c r="AP52" s="7"/>
      <c r="AQ52" s="7"/>
      <c r="AR52" s="7"/>
      <c r="AS52" s="7"/>
      <c r="AT52" s="7"/>
      <c r="AU52" s="7"/>
      <c r="AV52" s="7"/>
      <c r="AW52" s="36"/>
      <c r="AX52" s="36"/>
      <c r="AY52" s="36"/>
      <c r="AZ52" s="36">
        <v>2015</v>
      </c>
      <c r="BA52" s="37">
        <v>49.58</v>
      </c>
      <c r="BB52" s="37">
        <v>48.654716457745714</v>
      </c>
      <c r="BC52" s="37">
        <v>50.505283542254283</v>
      </c>
      <c r="BD52" s="37">
        <v>56.86</v>
      </c>
      <c r="BE52" s="37">
        <v>56.278480494113552</v>
      </c>
      <c r="BF52" s="37">
        <v>57.441519505886447</v>
      </c>
      <c r="BG52" s="37">
        <v>1.335</v>
      </c>
      <c r="BH52" s="37">
        <v>1.3100856488723382</v>
      </c>
      <c r="BI52" s="37">
        <v>1.3599143511276617</v>
      </c>
      <c r="BJ52" s="37">
        <v>1.0574999999999999</v>
      </c>
      <c r="BK52" s="37">
        <v>1.0466847190032549</v>
      </c>
      <c r="BL52" s="37">
        <v>1.0683152809967449</v>
      </c>
      <c r="BM52" s="37">
        <v>39.47</v>
      </c>
      <c r="BN52" s="37">
        <v>38.689568450298431</v>
      </c>
      <c r="BO52" s="37">
        <v>40.250431549701567</v>
      </c>
      <c r="BP52" s="37">
        <v>50.962499999999999</v>
      </c>
      <c r="BQ52" s="37">
        <v>50.437740098371982</v>
      </c>
      <c r="BR52" s="37">
        <v>51.487259901628015</v>
      </c>
      <c r="BS52" s="37">
        <v>2.9000000000000004</v>
      </c>
      <c r="BT52" s="37">
        <v>2.8426589436499992</v>
      </c>
      <c r="BU52" s="37">
        <v>2.9573410563500016</v>
      </c>
      <c r="BV52" s="37">
        <v>2.4000000000000004</v>
      </c>
      <c r="BW52" s="37">
        <v>2.3752872452507781</v>
      </c>
      <c r="BX52" s="37">
        <v>2.4247127547492227</v>
      </c>
      <c r="BY52" s="38"/>
      <c r="BZ52" s="38"/>
      <c r="CA52" s="38"/>
    </row>
    <row r="53" spans="1:79" s="35" customFormat="1" x14ac:dyDescent="0.25">
      <c r="A53" s="22">
        <v>2015</v>
      </c>
      <c r="B53" s="23">
        <f>IF($F$5=ref!$B$2,BS52,IF($F$5=ref!$B$3,BG52,IF($F$5="Caries-free at 5 Years of Age",BM52,IF($F$5="Caries-free at Year 8",BA52))))</f>
        <v>2.9000000000000004</v>
      </c>
      <c r="C53" s="24">
        <f>IF($F$5=ref!$B$2,BT52,IF($F$5=ref!$B$3,BH52,IF($F$5="Caries-free at 5 Years of Age",BN52,IF($F$5="Caries-free at Year 8",BB52))))</f>
        <v>2.8426589436499992</v>
      </c>
      <c r="D53" s="24">
        <f>IF($F$5=ref!$B$2,BU52,IF($F$5=ref!$B$3,BI52,IF($F$5="Caries-free at 5 Years of Age",BO52,IF($F$5="Caries-free at Year 8",BC52))))</f>
        <v>2.9573410563500016</v>
      </c>
      <c r="E53" s="23">
        <f>IF($F$5=ref!$B$2,BV52,IF($F$5=ref!$B$3,BJ52,IF($F$5="Caries-free at 5 Years of Age",BP52,IF($F$5="Caries-free at Year 8",BD52))))</f>
        <v>2.4000000000000004</v>
      </c>
      <c r="F53" s="24">
        <f>IF($F$5=ref!$B$2, BW52, IF($F$5 = ref!$B$3, BK52,IF($F$5="Caries-free at 5 Years of Age",BQ52,IF($F$5="Caries-free at Year 8",BE52))))</f>
        <v>2.3752872452507781</v>
      </c>
      <c r="G53" s="24">
        <f>IF($F$5=ref!$B$2, BX52, IF($F$5 = ref!$B$3, BL52,IF($F$5="Caries-free at 5 Years of Age",BR52,IF($F$5="Caries-free at Year 8",BF52))))</f>
        <v>2.4247127547492227</v>
      </c>
      <c r="H53" s="25"/>
      <c r="I53" s="25"/>
      <c r="J53" s="25"/>
      <c r="K53" s="22"/>
      <c r="L53" s="22"/>
      <c r="M53" s="22"/>
      <c r="N53" s="22"/>
      <c r="O53" s="22"/>
      <c r="P53" s="22">
        <v>2015</v>
      </c>
      <c r="Q53" s="44">
        <f t="shared" si="1"/>
        <v>1.2083333333333333</v>
      </c>
      <c r="R53" s="44"/>
      <c r="S53" s="25"/>
      <c r="T53" s="11"/>
      <c r="U53" s="11"/>
      <c r="V53" s="11"/>
      <c r="W53" s="11"/>
      <c r="X53" s="11"/>
      <c r="Y53" s="11"/>
      <c r="Z53" s="11"/>
      <c r="AA53" s="11"/>
      <c r="AB53" s="11"/>
      <c r="AC53" s="11"/>
      <c r="AD53" s="14">
        <v>1</v>
      </c>
      <c r="AE53" s="7"/>
      <c r="AF53" s="7"/>
      <c r="AG53" s="7"/>
      <c r="AH53" s="7"/>
      <c r="AI53" s="7"/>
      <c r="AJ53" s="7"/>
      <c r="AK53" s="7"/>
      <c r="AL53" s="7"/>
      <c r="AM53" s="7"/>
      <c r="AN53" s="7"/>
      <c r="AO53" s="7"/>
      <c r="AP53" s="7"/>
      <c r="AQ53" s="7"/>
      <c r="AR53" s="7"/>
      <c r="AS53" s="7"/>
      <c r="AT53" s="7"/>
      <c r="AU53" s="7"/>
      <c r="AV53" s="7"/>
      <c r="AW53" s="36"/>
      <c r="AX53" s="36"/>
      <c r="AY53" s="36"/>
      <c r="AZ53" s="36">
        <v>2016</v>
      </c>
      <c r="BA53" s="37">
        <v>52.075000000000003</v>
      </c>
      <c r="BB53" s="37">
        <v>51.044860703370944</v>
      </c>
      <c r="BC53" s="37">
        <v>53.105139296629062</v>
      </c>
      <c r="BD53" s="37">
        <v>57.642499999999998</v>
      </c>
      <c r="BE53" s="37">
        <v>57.059155177636825</v>
      </c>
      <c r="BF53" s="37">
        <v>58.225844822363172</v>
      </c>
      <c r="BG53" s="37">
        <v>1.3450000000000002</v>
      </c>
      <c r="BH53" s="37">
        <v>1.3183934257519718</v>
      </c>
      <c r="BI53" s="37">
        <v>1.3716065742480286</v>
      </c>
      <c r="BJ53" s="37">
        <v>1.0575000000000001</v>
      </c>
      <c r="BK53" s="37">
        <v>1.0467980500559648</v>
      </c>
      <c r="BL53" s="37">
        <v>1.0682019499440354</v>
      </c>
      <c r="BM53" s="37">
        <v>41.35</v>
      </c>
      <c r="BN53" s="37">
        <v>40.565434827926559</v>
      </c>
      <c r="BO53" s="37">
        <v>42.134565172073444</v>
      </c>
      <c r="BP53" s="37">
        <v>51.537500000000001</v>
      </c>
      <c r="BQ53" s="37">
        <v>51.002632600382142</v>
      </c>
      <c r="BR53" s="37">
        <v>52.07236739961786</v>
      </c>
      <c r="BS53" s="37">
        <v>2.9049999999999998</v>
      </c>
      <c r="BT53" s="37">
        <v>2.8498812134250704</v>
      </c>
      <c r="BU53" s="37">
        <v>2.9601187865749292</v>
      </c>
      <c r="BV53" s="37">
        <v>2.37</v>
      </c>
      <c r="BW53" s="37">
        <v>2.3454036238254803</v>
      </c>
      <c r="BX53" s="37">
        <v>2.3945963761745199</v>
      </c>
      <c r="BY53" s="38"/>
      <c r="BZ53" s="38"/>
      <c r="CA53" s="38"/>
    </row>
    <row r="54" spans="1:79" s="35" customFormat="1" x14ac:dyDescent="0.25">
      <c r="A54" s="27">
        <v>2016</v>
      </c>
      <c r="B54" s="28">
        <f>IF($F$5=ref!$B$2,BS53,IF($F$5=ref!$B$3,BG53,IF($F$5="Caries-free at 5 Years of Age",BM53,IF($F$5="Caries-free at Year 8",BA53))))</f>
        <v>2.9049999999999998</v>
      </c>
      <c r="C54" s="29">
        <f>IF($F$5=ref!$B$2,BT53,IF($F$5=ref!$B$3,BH53,IF($F$5="Caries-free at 5 Years of Age",BN53,IF($F$5="Caries-free at Year 8",BB53))))</f>
        <v>2.8498812134250704</v>
      </c>
      <c r="D54" s="29">
        <f>IF($F$5=ref!$B$2,BU53,IF($F$5=ref!$B$3,BI53,IF($F$5="Caries-free at 5 Years of Age",BO53,IF($F$5="Caries-free at Year 8",BC53))))</f>
        <v>2.9601187865749292</v>
      </c>
      <c r="E54" s="28">
        <f>IF($F$5=ref!$B$2,BV53,IF($F$5=ref!$B$3,BJ53,IF($F$5="Caries-free at 5 Years of Age",BP53,IF($F$5="Caries-free at Year 8",BD53))))</f>
        <v>2.37</v>
      </c>
      <c r="F54" s="29">
        <f>IF($F$5=ref!$B$2, BW53, IF($F$5 = ref!$B$3, BK53,IF($F$5="Caries-free at 5 Years of Age",BQ53,IF($F$5="Caries-free at Year 8",BE53))))</f>
        <v>2.3454036238254803</v>
      </c>
      <c r="G54" s="29">
        <f>IF($F$5=ref!$B$2, BX53, IF($F$5 = ref!$B$3, BL53,IF($F$5="Caries-free at 5 Years of Age",BR53,IF($F$5="Caries-free at Year 8",BF53))))</f>
        <v>2.3945963761745199</v>
      </c>
      <c r="H54" s="29"/>
      <c r="I54" s="29"/>
      <c r="J54" s="29"/>
      <c r="K54" s="22"/>
      <c r="L54" s="22"/>
      <c r="M54" s="22"/>
      <c r="N54" s="22"/>
      <c r="O54" s="22"/>
      <c r="P54" s="27">
        <v>2016</v>
      </c>
      <c r="Q54" s="28">
        <f t="shared" si="1"/>
        <v>1.2257383966244724</v>
      </c>
      <c r="R54" s="28"/>
      <c r="S54" s="29"/>
      <c r="T54" s="11"/>
      <c r="U54" s="11"/>
      <c r="V54" s="11"/>
      <c r="W54" s="11"/>
      <c r="X54" s="11"/>
      <c r="Y54" s="11"/>
      <c r="Z54" s="11"/>
      <c r="AA54" s="11"/>
      <c r="AB54" s="11"/>
      <c r="AC54" s="11"/>
      <c r="AD54" s="14">
        <v>1</v>
      </c>
      <c r="AE54" s="7"/>
      <c r="AF54" s="7"/>
      <c r="AG54" s="7"/>
      <c r="AH54" s="7"/>
      <c r="AI54" s="7"/>
      <c r="AJ54" s="7"/>
      <c r="AK54" s="7"/>
      <c r="AL54" s="7"/>
      <c r="AM54" s="7"/>
      <c r="AN54" s="7"/>
      <c r="AO54" s="7"/>
      <c r="AP54" s="7"/>
      <c r="AQ54" s="7"/>
      <c r="AR54" s="7"/>
      <c r="AS54" s="7"/>
      <c r="AT54" s="7"/>
      <c r="AU54" s="7"/>
      <c r="AV54" s="7"/>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8"/>
      <c r="BZ54" s="38"/>
      <c r="CA54" s="38"/>
    </row>
    <row r="55" spans="1:79" s="35" customFormat="1" x14ac:dyDescent="0.25">
      <c r="A55" s="22"/>
      <c r="B55" s="22"/>
      <c r="C55" s="22"/>
      <c r="D55" s="22"/>
      <c r="E55" s="25"/>
      <c r="F55" s="22"/>
      <c r="G55" s="22"/>
      <c r="H55" s="22"/>
      <c r="I55" s="22"/>
      <c r="J55" s="22"/>
      <c r="K55" s="22"/>
      <c r="L55" s="22"/>
      <c r="M55" s="22"/>
      <c r="N55" s="22"/>
      <c r="O55" s="22"/>
      <c r="P55" s="22"/>
      <c r="Q55" s="25"/>
      <c r="R55" s="25"/>
      <c r="S55" s="25"/>
      <c r="T55" s="11"/>
      <c r="U55" s="11"/>
      <c r="V55" s="11"/>
      <c r="W55" s="11"/>
      <c r="X55" s="11"/>
      <c r="Y55" s="11"/>
      <c r="Z55" s="11"/>
      <c r="AA55" s="11"/>
      <c r="AB55" s="11"/>
      <c r="AC55" s="11"/>
      <c r="AD55" s="14"/>
      <c r="AE55" s="7"/>
      <c r="AF55" s="7"/>
      <c r="AG55" s="7"/>
      <c r="AH55" s="7"/>
      <c r="AI55" s="7"/>
      <c r="AJ55" s="7"/>
      <c r="AK55" s="7"/>
      <c r="AL55" s="7"/>
      <c r="AM55" s="7"/>
      <c r="AN55" s="7"/>
      <c r="AO55" s="7"/>
      <c r="AP55" s="7"/>
      <c r="AQ55" s="7"/>
      <c r="AR55" s="7"/>
      <c r="AS55" s="7"/>
      <c r="AT55" s="7"/>
      <c r="AU55" s="7"/>
      <c r="AV55" s="7"/>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8"/>
      <c r="BZ55" s="38"/>
      <c r="CA55" s="38"/>
    </row>
    <row r="56" spans="1:79" s="35" customFormat="1" ht="15.6" x14ac:dyDescent="0.3">
      <c r="A56" s="22"/>
      <c r="B56" s="45"/>
      <c r="C56" s="45"/>
      <c r="D56" s="45"/>
      <c r="E56" s="45"/>
      <c r="F56" s="45"/>
      <c r="G56" s="45"/>
      <c r="H56" s="45"/>
      <c r="I56" s="45"/>
      <c r="J56" s="45"/>
      <c r="K56" s="45"/>
      <c r="L56" s="45"/>
      <c r="M56" s="45"/>
      <c r="N56" s="45"/>
      <c r="O56" s="45"/>
      <c r="P56" s="11"/>
      <c r="Q56" s="11"/>
      <c r="R56" s="11"/>
      <c r="S56" s="11"/>
      <c r="T56" s="17"/>
      <c r="U56" s="17"/>
      <c r="V56" s="17"/>
      <c r="W56" s="17"/>
      <c r="X56" s="17"/>
      <c r="Y56" s="17"/>
      <c r="Z56" s="17"/>
      <c r="AA56" s="17"/>
      <c r="AB56" s="17"/>
      <c r="AC56" s="17"/>
      <c r="AD56" s="7"/>
      <c r="AE56" s="7"/>
      <c r="AF56" s="7"/>
      <c r="AG56" s="7"/>
      <c r="AH56" s="7"/>
      <c r="AI56" s="7"/>
      <c r="AJ56" s="7"/>
      <c r="AK56" s="7"/>
      <c r="AL56" s="7"/>
      <c r="AM56" s="7"/>
      <c r="AN56" s="7"/>
      <c r="AO56" s="7"/>
      <c r="AP56" s="7"/>
      <c r="AQ56" s="7"/>
      <c r="AR56" s="7"/>
      <c r="AS56" s="7"/>
      <c r="AT56" s="7"/>
      <c r="AU56" s="7"/>
      <c r="AV56" s="7"/>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8"/>
      <c r="BZ56" s="38"/>
      <c r="CA56" s="38"/>
    </row>
    <row r="57" spans="1:79" s="35" customFormat="1" x14ac:dyDescent="0.25">
      <c r="A57" s="11" t="s">
        <v>37</v>
      </c>
      <c r="B57" s="22"/>
      <c r="C57" s="22"/>
      <c r="D57" s="22"/>
      <c r="E57" s="22"/>
      <c r="F57" s="22"/>
      <c r="G57" s="22"/>
      <c r="H57" s="22"/>
      <c r="I57" s="22"/>
      <c r="J57" s="22"/>
      <c r="K57" s="22"/>
      <c r="L57" s="22"/>
      <c r="M57" s="22"/>
      <c r="N57" s="22"/>
      <c r="O57" s="22"/>
      <c r="P57" s="11" t="s">
        <v>37</v>
      </c>
      <c r="Q57" s="22"/>
      <c r="R57" s="22"/>
      <c r="S57" s="22"/>
      <c r="T57" s="11"/>
      <c r="U57" s="11"/>
      <c r="V57" s="11"/>
      <c r="W57" s="11"/>
      <c r="X57" s="11"/>
      <c r="Y57" s="11"/>
      <c r="Z57" s="11"/>
      <c r="AA57" s="11"/>
      <c r="AB57" s="11"/>
      <c r="AC57" s="11"/>
      <c r="AD57" s="7"/>
      <c r="AE57" s="7"/>
      <c r="AF57" s="7"/>
      <c r="AG57" s="7"/>
      <c r="AH57" s="7"/>
      <c r="AI57" s="7"/>
      <c r="AJ57" s="7"/>
      <c r="AK57" s="7"/>
      <c r="AL57" s="7"/>
      <c r="AM57" s="7"/>
      <c r="AN57" s="7"/>
      <c r="AO57" s="7"/>
      <c r="AP57" s="7"/>
      <c r="AQ57" s="7"/>
      <c r="AR57" s="7"/>
      <c r="AS57" s="7"/>
      <c r="AT57" s="7"/>
      <c r="AU57" s="7"/>
      <c r="AV57" s="7"/>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8"/>
      <c r="BZ57" s="38"/>
      <c r="CA57" s="38"/>
    </row>
    <row r="58" spans="1:79" s="35" customFormat="1" ht="13.8" x14ac:dyDescent="0.25">
      <c r="A58" s="46"/>
      <c r="B58" s="47"/>
      <c r="C58" s="47"/>
      <c r="D58" s="47"/>
      <c r="E58" s="48"/>
      <c r="F58" s="46"/>
      <c r="G58" s="46"/>
      <c r="H58" s="46"/>
      <c r="I58" s="46"/>
      <c r="J58" s="46"/>
      <c r="K58" s="22"/>
      <c r="L58" s="22"/>
      <c r="M58" s="49"/>
      <c r="N58" s="49"/>
      <c r="O58" s="49"/>
      <c r="P58" s="22"/>
      <c r="Q58" s="22"/>
      <c r="R58" s="22"/>
      <c r="S58" s="22"/>
      <c r="T58" s="11"/>
      <c r="U58" s="62"/>
      <c r="V58" s="62"/>
      <c r="W58" s="62"/>
      <c r="X58" s="11"/>
      <c r="Y58" s="11"/>
      <c r="Z58" s="11"/>
      <c r="AA58" s="11"/>
      <c r="AB58" s="11"/>
      <c r="AC58" s="11"/>
      <c r="AD58" s="7"/>
      <c r="AE58" s="7"/>
      <c r="AF58" s="7"/>
      <c r="AG58" s="7"/>
      <c r="AH58" s="7"/>
      <c r="AI58" s="7"/>
      <c r="AJ58" s="7"/>
      <c r="AK58" s="7"/>
      <c r="AL58" s="7"/>
      <c r="AM58" s="7"/>
      <c r="AN58" s="7"/>
      <c r="AO58" s="7"/>
      <c r="AP58" s="7"/>
      <c r="AQ58" s="7"/>
      <c r="AR58" s="7"/>
      <c r="AS58" s="7"/>
      <c r="AT58" s="7"/>
      <c r="AU58" s="7"/>
      <c r="AV58" s="7"/>
      <c r="AW58" s="50" t="s">
        <v>30</v>
      </c>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8"/>
      <c r="BZ58" s="38"/>
      <c r="CA58" s="38"/>
    </row>
    <row r="59" spans="1:79" s="35" customFormat="1" x14ac:dyDescent="0.25">
      <c r="A59" s="51"/>
      <c r="B59" s="52"/>
      <c r="C59" s="53"/>
      <c r="D59" s="53"/>
      <c r="E59" s="52"/>
      <c r="F59" s="54"/>
      <c r="G59" s="54"/>
      <c r="H59" s="52"/>
      <c r="I59" s="22"/>
      <c r="J59" s="22"/>
      <c r="K59" s="22"/>
      <c r="L59" s="22"/>
      <c r="M59" s="55"/>
      <c r="N59" s="55"/>
      <c r="O59" s="55"/>
      <c r="P59" s="22"/>
      <c r="Q59" s="22"/>
      <c r="R59" s="22"/>
      <c r="S59" s="22"/>
      <c r="T59" s="11"/>
      <c r="U59" s="40"/>
      <c r="V59" s="40"/>
      <c r="W59" s="40"/>
      <c r="X59" s="11"/>
      <c r="Y59" s="11"/>
      <c r="Z59" s="11"/>
      <c r="AA59" s="11"/>
      <c r="AB59" s="11"/>
      <c r="AC59" s="11"/>
      <c r="AD59" s="7"/>
      <c r="AE59" s="7"/>
      <c r="AF59" s="7"/>
      <c r="AG59" s="7"/>
      <c r="AH59" s="7"/>
      <c r="AI59" s="7"/>
      <c r="AJ59" s="7"/>
      <c r="AK59" s="7"/>
      <c r="AL59" s="7"/>
      <c r="AM59" s="7"/>
      <c r="AN59" s="7"/>
      <c r="AO59" s="7"/>
      <c r="AP59" s="7"/>
      <c r="AQ59" s="7"/>
      <c r="AR59" s="7"/>
      <c r="AS59" s="7"/>
      <c r="AT59" s="7"/>
      <c r="AU59" s="7"/>
      <c r="AV59" s="7"/>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8"/>
      <c r="BZ59" s="38"/>
      <c r="CA59" s="38"/>
    </row>
    <row r="60" spans="1:79" s="35" customFormat="1" ht="15.6" x14ac:dyDescent="0.3">
      <c r="A60" s="51"/>
      <c r="B60" s="56"/>
      <c r="C60" s="56"/>
      <c r="D60" s="56"/>
      <c r="E60" s="56"/>
      <c r="F60" s="43"/>
      <c r="G60" s="43"/>
      <c r="H60" s="56"/>
      <c r="I60" s="22"/>
      <c r="J60" s="22"/>
      <c r="K60" s="22"/>
      <c r="L60" s="22"/>
      <c r="M60" s="55"/>
      <c r="N60" s="55"/>
      <c r="O60" s="55"/>
      <c r="P60" s="45"/>
      <c r="Q60" s="45"/>
      <c r="R60" s="45"/>
      <c r="S60" s="45"/>
      <c r="T60" s="11"/>
      <c r="U60" s="40"/>
      <c r="V60" s="40"/>
      <c r="W60" s="40"/>
      <c r="X60" s="11"/>
      <c r="Y60" s="11"/>
      <c r="Z60" s="11"/>
      <c r="AA60" s="11"/>
      <c r="AB60" s="11"/>
      <c r="AC60" s="11"/>
      <c r="AD60" s="7"/>
      <c r="AE60" s="7"/>
      <c r="AF60" s="7"/>
      <c r="AG60" s="7"/>
      <c r="AH60" s="7"/>
      <c r="AI60" s="7"/>
      <c r="AJ60" s="7"/>
      <c r="AK60" s="7"/>
      <c r="AL60" s="7"/>
      <c r="AM60" s="7"/>
      <c r="AN60" s="7"/>
      <c r="AO60" s="7"/>
      <c r="AP60" s="7"/>
      <c r="AQ60" s="7"/>
      <c r="AR60" s="7"/>
      <c r="AS60" s="7"/>
      <c r="AT60" s="7"/>
      <c r="AU60" s="7"/>
      <c r="AV60" s="7"/>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8"/>
      <c r="BZ60" s="38"/>
      <c r="CA60" s="38"/>
    </row>
    <row r="61" spans="1:79" s="35" customFormat="1" x14ac:dyDescent="0.25">
      <c r="A61" s="51"/>
      <c r="B61" s="49"/>
      <c r="C61" s="49"/>
      <c r="D61" s="49"/>
      <c r="E61" s="25"/>
      <c r="F61" s="25"/>
      <c r="G61" s="25"/>
      <c r="H61" s="22"/>
      <c r="I61" s="22"/>
      <c r="J61" s="22"/>
      <c r="K61" s="22"/>
      <c r="L61" s="22"/>
      <c r="M61" s="49"/>
      <c r="N61" s="49"/>
      <c r="O61" s="49"/>
      <c r="P61" s="22"/>
      <c r="Q61" s="22"/>
      <c r="R61" s="22"/>
      <c r="S61" s="22"/>
      <c r="T61" s="11"/>
      <c r="U61" s="62"/>
      <c r="V61" s="62"/>
      <c r="W61" s="62"/>
      <c r="X61" s="11"/>
      <c r="Y61" s="11"/>
      <c r="Z61" s="11"/>
      <c r="AA61" s="11"/>
      <c r="AB61" s="11"/>
      <c r="AC61" s="11"/>
      <c r="AD61" s="7"/>
      <c r="AE61" s="7"/>
      <c r="AF61" s="7"/>
      <c r="AG61" s="7"/>
      <c r="AH61" s="7"/>
      <c r="AI61" s="7"/>
      <c r="AJ61" s="7"/>
      <c r="AK61" s="7"/>
      <c r="AL61" s="7"/>
      <c r="AM61" s="7"/>
      <c r="AN61" s="7"/>
      <c r="AO61" s="7"/>
      <c r="AP61" s="7"/>
      <c r="AQ61" s="7"/>
      <c r="AR61" s="7"/>
      <c r="AS61" s="7"/>
      <c r="AT61" s="7"/>
      <c r="AU61" s="7"/>
      <c r="AV61" s="7"/>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8"/>
      <c r="BZ61" s="38"/>
      <c r="CA61" s="38"/>
    </row>
    <row r="62" spans="1:79" s="35" customFormat="1" x14ac:dyDescent="0.25">
      <c r="A62" s="51"/>
      <c r="B62" s="57"/>
      <c r="C62" s="49"/>
      <c r="D62" s="49"/>
      <c r="E62" s="57"/>
      <c r="F62" s="25"/>
      <c r="G62" s="25"/>
      <c r="H62" s="58"/>
      <c r="I62" s="58"/>
      <c r="J62" s="58"/>
      <c r="K62" s="22"/>
      <c r="L62" s="22"/>
      <c r="M62" s="49"/>
      <c r="N62" s="49"/>
      <c r="O62" s="49"/>
      <c r="P62" s="22"/>
      <c r="Q62" s="22"/>
      <c r="R62" s="22"/>
      <c r="S62" s="22"/>
      <c r="T62" s="11"/>
      <c r="U62" s="62"/>
      <c r="V62" s="62"/>
      <c r="W62" s="62"/>
      <c r="X62" s="11"/>
      <c r="Y62" s="11"/>
      <c r="Z62" s="11"/>
      <c r="AA62" s="11"/>
      <c r="AB62" s="11"/>
      <c r="AC62" s="11"/>
      <c r="AD62" s="7"/>
      <c r="AE62" s="7"/>
      <c r="AF62" s="7"/>
      <c r="AG62" s="7"/>
      <c r="AH62" s="7"/>
      <c r="AI62" s="7"/>
      <c r="AJ62" s="7"/>
      <c r="AK62" s="7"/>
      <c r="AL62" s="7"/>
      <c r="AM62" s="7"/>
      <c r="AN62" s="7"/>
      <c r="AO62" s="7"/>
      <c r="AP62" s="7"/>
      <c r="AQ62" s="7"/>
      <c r="AR62" s="7"/>
      <c r="AS62" s="7"/>
      <c r="AT62" s="7"/>
      <c r="AU62" s="7"/>
      <c r="AV62" s="7"/>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8"/>
      <c r="BZ62" s="38"/>
      <c r="CA62" s="38"/>
    </row>
    <row r="63" spans="1:79" s="35" customFormat="1" x14ac:dyDescent="0.25">
      <c r="A63" s="51"/>
      <c r="B63" s="56"/>
      <c r="C63" s="56"/>
      <c r="D63" s="56"/>
      <c r="E63" s="56"/>
      <c r="F63" s="25"/>
      <c r="G63" s="25"/>
      <c r="H63" s="58"/>
      <c r="I63" s="58"/>
      <c r="J63" s="58"/>
      <c r="K63" s="22"/>
      <c r="L63" s="22"/>
      <c r="M63" s="49"/>
      <c r="N63" s="49"/>
      <c r="O63" s="49"/>
      <c r="P63" s="22"/>
      <c r="Q63" s="22"/>
      <c r="R63" s="22"/>
      <c r="S63" s="22"/>
      <c r="T63" s="11"/>
      <c r="U63" s="62"/>
      <c r="V63" s="62"/>
      <c r="W63" s="62"/>
      <c r="X63" s="11"/>
      <c r="Y63" s="11"/>
      <c r="Z63" s="11"/>
      <c r="AA63" s="11"/>
      <c r="AB63" s="11"/>
      <c r="AC63" s="11"/>
      <c r="AD63" s="7"/>
      <c r="AE63" s="7"/>
      <c r="AF63" s="7"/>
      <c r="AG63" s="7"/>
      <c r="AH63" s="7"/>
      <c r="AI63" s="7"/>
      <c r="AJ63" s="7"/>
      <c r="AK63" s="7"/>
      <c r="AL63" s="7"/>
      <c r="AM63" s="7"/>
      <c r="AN63" s="7"/>
      <c r="AO63" s="7"/>
      <c r="AP63" s="7"/>
      <c r="AQ63" s="7"/>
      <c r="AR63" s="7"/>
      <c r="AS63" s="7"/>
      <c r="AT63" s="7"/>
      <c r="AU63" s="7"/>
      <c r="AV63" s="7"/>
      <c r="AW63" s="36"/>
      <c r="AX63" s="71" t="s">
        <v>22</v>
      </c>
      <c r="AY63" s="71"/>
      <c r="AZ63" s="71"/>
      <c r="BA63" s="71"/>
      <c r="BB63" s="71"/>
      <c r="BC63" s="71"/>
      <c r="BD63" s="71"/>
      <c r="BE63" s="71"/>
      <c r="BF63" s="71" t="s">
        <v>26</v>
      </c>
      <c r="BG63" s="71"/>
      <c r="BH63" s="71"/>
      <c r="BI63" s="71"/>
      <c r="BJ63" s="71"/>
      <c r="BK63" s="71"/>
      <c r="BL63" s="71"/>
      <c r="BM63" s="71"/>
      <c r="BN63" s="36"/>
      <c r="BO63" s="36"/>
      <c r="BP63" s="36"/>
      <c r="BQ63" s="36"/>
      <c r="BR63" s="36"/>
      <c r="BS63" s="36"/>
      <c r="BT63" s="36"/>
      <c r="BU63" s="36"/>
      <c r="BV63" s="36"/>
      <c r="BW63" s="36"/>
      <c r="BX63" s="36"/>
      <c r="BY63" s="38"/>
      <c r="BZ63" s="38"/>
      <c r="CA63" s="38"/>
    </row>
    <row r="64" spans="1:79" s="35" customFormat="1" x14ac:dyDescent="0.25">
      <c r="A64" s="51"/>
      <c r="B64" s="49"/>
      <c r="C64" s="49"/>
      <c r="D64" s="49"/>
      <c r="E64" s="25"/>
      <c r="F64" s="25"/>
      <c r="G64" s="25"/>
      <c r="H64" s="58"/>
      <c r="I64" s="58"/>
      <c r="J64" s="58"/>
      <c r="K64" s="22"/>
      <c r="L64" s="22"/>
      <c r="M64" s="49"/>
      <c r="N64" s="49"/>
      <c r="O64" s="49"/>
      <c r="P64" s="22"/>
      <c r="Q64" s="22"/>
      <c r="R64" s="22"/>
      <c r="S64" s="22"/>
      <c r="T64" s="11"/>
      <c r="U64" s="62"/>
      <c r="V64" s="62"/>
      <c r="W64" s="62"/>
      <c r="X64" s="11"/>
      <c r="Y64" s="11"/>
      <c r="Z64" s="11"/>
      <c r="AA64" s="11"/>
      <c r="AB64" s="11"/>
      <c r="AC64" s="11"/>
      <c r="AD64" s="7"/>
      <c r="AE64" s="7"/>
      <c r="AF64" s="7"/>
      <c r="AG64" s="7"/>
      <c r="AH64" s="7"/>
      <c r="AI64" s="7"/>
      <c r="AJ64" s="7"/>
      <c r="AK64" s="7"/>
      <c r="AL64" s="7"/>
      <c r="AM64" s="7"/>
      <c r="AN64" s="7"/>
      <c r="AO64" s="7"/>
      <c r="AP64" s="7"/>
      <c r="AQ64" s="7"/>
      <c r="AR64" s="7"/>
      <c r="AS64" s="7"/>
      <c r="AT64" s="7"/>
      <c r="AU64" s="7"/>
      <c r="AV64" s="7"/>
      <c r="AW64" s="36"/>
      <c r="AX64" s="71" t="s">
        <v>18</v>
      </c>
      <c r="AY64" s="71"/>
      <c r="AZ64" s="71"/>
      <c r="BA64" s="71"/>
      <c r="BB64" s="71" t="s">
        <v>3</v>
      </c>
      <c r="BC64" s="71"/>
      <c r="BD64" s="71"/>
      <c r="BE64" s="71"/>
      <c r="BF64" s="71" t="s">
        <v>18</v>
      </c>
      <c r="BG64" s="71"/>
      <c r="BH64" s="71"/>
      <c r="BI64" s="71"/>
      <c r="BJ64" s="71" t="s">
        <v>3</v>
      </c>
      <c r="BK64" s="71"/>
      <c r="BL64" s="71"/>
      <c r="BM64" s="71"/>
      <c r="BN64" s="36"/>
      <c r="BO64" s="36"/>
      <c r="BP64" s="36"/>
      <c r="BQ64" s="36"/>
      <c r="BR64" s="36"/>
      <c r="BS64" s="36"/>
      <c r="BT64" s="36"/>
      <c r="BU64" s="36"/>
      <c r="BV64" s="36"/>
      <c r="BW64" s="36"/>
      <c r="BX64" s="36"/>
      <c r="BY64" s="38"/>
      <c r="BZ64" s="38"/>
      <c r="CA64" s="38"/>
    </row>
    <row r="65" spans="1:79" s="35" customFormat="1" x14ac:dyDescent="0.25">
      <c r="A65" s="51"/>
      <c r="B65" s="49"/>
      <c r="C65" s="49"/>
      <c r="D65" s="49"/>
      <c r="E65" s="25"/>
      <c r="F65" s="25"/>
      <c r="G65" s="25"/>
      <c r="H65" s="58"/>
      <c r="I65" s="58"/>
      <c r="J65" s="58"/>
      <c r="K65" s="22"/>
      <c r="L65" s="22"/>
      <c r="M65" s="49"/>
      <c r="N65" s="49"/>
      <c r="O65" s="49"/>
      <c r="P65" s="22"/>
      <c r="Q65" s="22"/>
      <c r="R65" s="22"/>
      <c r="S65" s="22"/>
      <c r="T65" s="11"/>
      <c r="U65" s="62"/>
      <c r="V65" s="62"/>
      <c r="W65" s="62"/>
      <c r="X65" s="11"/>
      <c r="Y65" s="11"/>
      <c r="Z65" s="11"/>
      <c r="AA65" s="11"/>
      <c r="AB65" s="11"/>
      <c r="AC65" s="11"/>
      <c r="AD65" s="7"/>
      <c r="AE65" s="7"/>
      <c r="AF65" s="7"/>
      <c r="AG65" s="7"/>
      <c r="AH65" s="7"/>
      <c r="AI65" s="7"/>
      <c r="AJ65" s="7"/>
      <c r="AK65" s="7"/>
      <c r="AL65" s="7"/>
      <c r="AM65" s="7"/>
      <c r="AN65" s="7"/>
      <c r="AO65" s="7"/>
      <c r="AP65" s="7"/>
      <c r="AQ65" s="7"/>
      <c r="AR65" s="7"/>
      <c r="AS65" s="7"/>
      <c r="AT65" s="7"/>
      <c r="AU65" s="7"/>
      <c r="AV65" s="7"/>
      <c r="AW65" s="36"/>
      <c r="AX65" s="71" t="s">
        <v>1</v>
      </c>
      <c r="AY65" s="71"/>
      <c r="AZ65" s="71" t="s">
        <v>2</v>
      </c>
      <c r="BA65" s="71"/>
      <c r="BB65" s="71" t="s">
        <v>1</v>
      </c>
      <c r="BC65" s="71"/>
      <c r="BD65" s="36" t="s">
        <v>2</v>
      </c>
      <c r="BE65" s="36"/>
      <c r="BF65" s="71" t="s">
        <v>1</v>
      </c>
      <c r="BG65" s="71"/>
      <c r="BH65" s="71" t="s">
        <v>2</v>
      </c>
      <c r="BI65" s="71"/>
      <c r="BJ65" s="71" t="s">
        <v>1</v>
      </c>
      <c r="BK65" s="71"/>
      <c r="BL65" s="71" t="s">
        <v>2</v>
      </c>
      <c r="BM65" s="71"/>
      <c r="BN65" s="72" t="s">
        <v>28</v>
      </c>
      <c r="BO65" s="72"/>
      <c r="BP65" s="36"/>
      <c r="BQ65" s="36" t="s">
        <v>48</v>
      </c>
      <c r="BR65" s="36"/>
      <c r="BS65" s="36"/>
      <c r="BT65" s="36"/>
      <c r="BU65" s="36"/>
      <c r="BV65" s="36"/>
      <c r="BW65" s="36"/>
      <c r="BX65" s="36"/>
      <c r="BY65" s="38"/>
      <c r="BZ65" s="38"/>
      <c r="CA65" s="38"/>
    </row>
    <row r="66" spans="1:79" s="35" customFormat="1" x14ac:dyDescent="0.25">
      <c r="A66" s="51"/>
      <c r="B66" s="57"/>
      <c r="C66" s="49"/>
      <c r="D66" s="49"/>
      <c r="E66" s="25"/>
      <c r="F66" s="25"/>
      <c r="G66" s="25"/>
      <c r="H66" s="57"/>
      <c r="I66" s="58"/>
      <c r="J66" s="58"/>
      <c r="K66" s="22"/>
      <c r="L66" s="22"/>
      <c r="M66" s="49"/>
      <c r="N66" s="49"/>
      <c r="O66" s="49"/>
      <c r="P66" s="22"/>
      <c r="Q66" s="22"/>
      <c r="R66" s="22"/>
      <c r="S66" s="22"/>
      <c r="T66" s="11"/>
      <c r="U66" s="62"/>
      <c r="V66" s="62"/>
      <c r="W66" s="62"/>
      <c r="X66" s="11"/>
      <c r="Y66" s="11"/>
      <c r="Z66" s="11"/>
      <c r="AA66" s="11"/>
      <c r="AB66" s="11"/>
      <c r="AC66" s="11"/>
      <c r="AD66" s="7"/>
      <c r="AE66" s="7"/>
      <c r="AF66" s="7"/>
      <c r="AG66" s="7"/>
      <c r="AH66" s="7"/>
      <c r="AI66" s="7"/>
      <c r="AJ66" s="7"/>
      <c r="AK66" s="7"/>
      <c r="AL66" s="7"/>
      <c r="AM66" s="7"/>
      <c r="AN66" s="7"/>
      <c r="AO66" s="7"/>
      <c r="AP66" s="7"/>
      <c r="AQ66" s="7"/>
      <c r="AR66" s="7"/>
      <c r="AS66" s="7"/>
      <c r="AT66" s="7"/>
      <c r="AU66" s="7"/>
      <c r="AV66" s="7"/>
      <c r="AW66" s="36" t="s">
        <v>0</v>
      </c>
      <c r="AX66" s="36" t="s">
        <v>19</v>
      </c>
      <c r="AY66" s="36" t="s">
        <v>25</v>
      </c>
      <c r="AZ66" s="36" t="s">
        <v>19</v>
      </c>
      <c r="BA66" s="36" t="s">
        <v>25</v>
      </c>
      <c r="BB66" s="36" t="s">
        <v>27</v>
      </c>
      <c r="BC66" s="36" t="s">
        <v>25</v>
      </c>
      <c r="BD66" s="36" t="s">
        <v>27</v>
      </c>
      <c r="BE66" s="36" t="s">
        <v>25</v>
      </c>
      <c r="BF66" s="36" t="s">
        <v>19</v>
      </c>
      <c r="BG66" s="36" t="s">
        <v>25</v>
      </c>
      <c r="BH66" s="36" t="s">
        <v>19</v>
      </c>
      <c r="BI66" s="36" t="s">
        <v>25</v>
      </c>
      <c r="BJ66" s="36" t="s">
        <v>27</v>
      </c>
      <c r="BK66" s="36" t="s">
        <v>25</v>
      </c>
      <c r="BL66" s="36" t="s">
        <v>27</v>
      </c>
      <c r="BM66" s="36" t="s">
        <v>25</v>
      </c>
      <c r="BN66" s="36" t="s">
        <v>1</v>
      </c>
      <c r="BO66" s="36" t="s">
        <v>2</v>
      </c>
      <c r="BP66" s="36"/>
      <c r="BQ66" s="36" t="s">
        <v>47</v>
      </c>
      <c r="BR66" s="36"/>
      <c r="BS66" s="36"/>
      <c r="BT66" s="36"/>
      <c r="BU66" s="36"/>
      <c r="BV66" s="36"/>
      <c r="BW66" s="36"/>
      <c r="BX66" s="36"/>
      <c r="BY66" s="38"/>
      <c r="BZ66" s="38"/>
      <c r="CA66" s="38"/>
    </row>
    <row r="67" spans="1:79" s="35" customFormat="1" x14ac:dyDescent="0.25">
      <c r="A67" s="59"/>
      <c r="B67" s="49"/>
      <c r="C67" s="49"/>
      <c r="D67" s="49"/>
      <c r="E67" s="22"/>
      <c r="F67" s="22"/>
      <c r="G67" s="22"/>
      <c r="H67" s="49"/>
      <c r="I67" s="58"/>
      <c r="J67" s="58"/>
      <c r="K67" s="22"/>
      <c r="L67" s="22"/>
      <c r="M67" s="49"/>
      <c r="N67" s="49"/>
      <c r="O67" s="49"/>
      <c r="P67" s="22"/>
      <c r="Q67" s="22"/>
      <c r="R67" s="22"/>
      <c r="S67" s="22"/>
      <c r="T67" s="11"/>
      <c r="U67" s="62"/>
      <c r="V67" s="62"/>
      <c r="W67" s="62"/>
      <c r="X67" s="11"/>
      <c r="Y67" s="11"/>
      <c r="Z67" s="11"/>
      <c r="AA67" s="11"/>
      <c r="AB67" s="11"/>
      <c r="AC67" s="11"/>
      <c r="AD67" s="7"/>
      <c r="AE67" s="7"/>
      <c r="AF67" s="7"/>
      <c r="AG67" s="7"/>
      <c r="AH67" s="7"/>
      <c r="AI67" s="7"/>
      <c r="AJ67" s="7"/>
      <c r="AK67" s="7"/>
      <c r="AL67" s="7"/>
      <c r="AM67" s="7"/>
      <c r="AN67" s="7"/>
      <c r="AO67" s="7"/>
      <c r="AP67" s="7"/>
      <c r="AQ67" s="7"/>
      <c r="AR67" s="7"/>
      <c r="AS67" s="7"/>
      <c r="AT67" s="7"/>
      <c r="AU67" s="7"/>
      <c r="AV67" s="7"/>
      <c r="AW67" s="36">
        <v>2002</v>
      </c>
      <c r="AX67" s="37">
        <v>33.844999999999999</v>
      </c>
      <c r="AY67" s="37">
        <v>0.80819715276525528</v>
      </c>
      <c r="AZ67" s="37">
        <v>46.277499999999996</v>
      </c>
      <c r="BA67" s="37">
        <v>0.71003407228008397</v>
      </c>
      <c r="BB67" s="37">
        <v>1.74</v>
      </c>
      <c r="BC67" s="37">
        <v>4.1550097379569932E-2</v>
      </c>
      <c r="BD67" s="37">
        <v>1.6524999999999999</v>
      </c>
      <c r="BE67" s="37">
        <v>2.5354250001465913E-2</v>
      </c>
      <c r="BF67" s="37">
        <v>33.215000000000003</v>
      </c>
      <c r="BG67" s="37">
        <v>0.9017540979542501</v>
      </c>
      <c r="BH67" s="37">
        <v>50.225000000000001</v>
      </c>
      <c r="BI67" s="37">
        <v>0.7706004274273075</v>
      </c>
      <c r="BJ67" s="37">
        <v>3.5500000000000003</v>
      </c>
      <c r="BK67" s="37">
        <v>9.6378956728513862E-2</v>
      </c>
      <c r="BL67" s="37">
        <v>2.3725000000000001</v>
      </c>
      <c r="BM67" s="37">
        <v>3.6401184949154543E-2</v>
      </c>
      <c r="BN67" s="36">
        <f>IF($F$5=ref!$B$2,BK67,IF($F$5=ref!$B$3,BC67,IF($F$5="Caries-free at 5 Years of Age",BG67,IF($F$5="Caries-free at Year 8",AY67))))</f>
        <v>9.6378956728513862E-2</v>
      </c>
      <c r="BO67" s="36">
        <f>IF($F$5 =ref!$B$2, BM67,IF($F$5=ref!$B$3,BE67, IF($F$5 = "Caries-free at 5 Years of Age", BI67,IF($F$5="Caries-free at Year 8",BA67))))</f>
        <v>3.6401184949154543E-2</v>
      </c>
      <c r="BP67" s="36"/>
      <c r="BQ67" s="36" t="s">
        <v>11</v>
      </c>
      <c r="BR67" s="36"/>
      <c r="BS67" s="36"/>
      <c r="BT67" s="36"/>
      <c r="BU67" s="36"/>
      <c r="BV67" s="36"/>
      <c r="BW67" s="36"/>
      <c r="BX67" s="36"/>
      <c r="BY67" s="38"/>
      <c r="BZ67" s="38"/>
      <c r="CA67" s="38"/>
    </row>
    <row r="68" spans="1:79" s="35" customFormat="1" x14ac:dyDescent="0.25">
      <c r="A68" s="59"/>
      <c r="B68" s="49"/>
      <c r="C68" s="49"/>
      <c r="D68" s="49"/>
      <c r="E68" s="22"/>
      <c r="F68" s="22"/>
      <c r="G68" s="22"/>
      <c r="H68" s="58"/>
      <c r="I68" s="58"/>
      <c r="J68" s="58"/>
      <c r="K68" s="22"/>
      <c r="L68" s="22"/>
      <c r="M68" s="49"/>
      <c r="N68" s="49"/>
      <c r="O68" s="49"/>
      <c r="P68" s="22"/>
      <c r="Q68" s="22"/>
      <c r="R68" s="22"/>
      <c r="S68" s="22"/>
      <c r="T68" s="11"/>
      <c r="U68" s="62"/>
      <c r="V68" s="62"/>
      <c r="W68" s="62"/>
      <c r="X68" s="11"/>
      <c r="Y68" s="11"/>
      <c r="Z68" s="11"/>
      <c r="AA68" s="11"/>
      <c r="AB68" s="11"/>
      <c r="AC68" s="11"/>
      <c r="AD68" s="7"/>
      <c r="AE68" s="7"/>
      <c r="AF68" s="7"/>
      <c r="AG68" s="7"/>
      <c r="AH68" s="7"/>
      <c r="AI68" s="7"/>
      <c r="AJ68" s="7"/>
      <c r="AK68" s="7"/>
      <c r="AL68" s="7"/>
      <c r="AM68" s="7"/>
      <c r="AN68" s="7"/>
      <c r="AO68" s="7"/>
      <c r="AP68" s="7"/>
      <c r="AQ68" s="7"/>
      <c r="AR68" s="7"/>
      <c r="AS68" s="7"/>
      <c r="AT68" s="7"/>
      <c r="AU68" s="7"/>
      <c r="AV68" s="7"/>
      <c r="AW68" s="36">
        <v>2003</v>
      </c>
      <c r="AX68" s="37">
        <v>32.369999999999997</v>
      </c>
      <c r="AY68" s="37">
        <v>1.0754968649980758</v>
      </c>
      <c r="AZ68" s="37">
        <v>42.94</v>
      </c>
      <c r="BA68" s="37">
        <v>0.41597325587504203</v>
      </c>
      <c r="BB68" s="37">
        <v>2.2749999999999999</v>
      </c>
      <c r="BC68" s="37">
        <v>7.5587129066129841E-2</v>
      </c>
      <c r="BD68" s="37">
        <v>1.7674999999999998</v>
      </c>
      <c r="BE68" s="37">
        <v>1.7122327195135928E-2</v>
      </c>
      <c r="BF68" s="37">
        <v>33.200000000000003</v>
      </c>
      <c r="BG68" s="37">
        <v>0.61247117579235566</v>
      </c>
      <c r="BH68" s="37">
        <v>48.454999999999998</v>
      </c>
      <c r="BI68" s="37">
        <v>0.55383027519359151</v>
      </c>
      <c r="BJ68" s="37">
        <v>3.92</v>
      </c>
      <c r="BK68" s="37">
        <v>7.2315873768254033E-2</v>
      </c>
      <c r="BL68" s="37">
        <v>2.5625</v>
      </c>
      <c r="BM68" s="37">
        <v>2.9288826337500323E-2</v>
      </c>
      <c r="BN68" s="36">
        <f>IF($F$5=ref!$B$2,BK68,IF($F$5=ref!$B$3,BC68,IF($F$5="Caries-free at 5 Years of Age",BG68,IF($F$5="Caries-free at Year 8",AY68))))</f>
        <v>7.2315873768254033E-2</v>
      </c>
      <c r="BO68" s="36">
        <f>IF($F$5 =ref!$B$2, BM68,IF($F$5=ref!$B$3,BE68, IF($F$5 = "Caries-free at 5 Years of Age", BI68,IF($F$5="Caries-free at Year 8",BA68))))</f>
        <v>2.9288826337500323E-2</v>
      </c>
      <c r="BP68" s="36"/>
      <c r="BQ68" s="36" t="s">
        <v>12</v>
      </c>
      <c r="BR68" s="36"/>
      <c r="BS68" s="36"/>
      <c r="BT68" s="36"/>
      <c r="BU68" s="36"/>
      <c r="BV68" s="36"/>
      <c r="BW68" s="36"/>
      <c r="BX68" s="36"/>
      <c r="BY68" s="38"/>
      <c r="BZ68" s="38"/>
      <c r="CA68" s="38"/>
    </row>
    <row r="69" spans="1:79" s="35" customFormat="1" x14ac:dyDescent="0.25">
      <c r="A69" s="59"/>
      <c r="B69" s="49"/>
      <c r="C69" s="49"/>
      <c r="D69" s="49"/>
      <c r="E69" s="25"/>
      <c r="F69" s="25"/>
      <c r="G69" s="25"/>
      <c r="H69" s="22"/>
      <c r="I69" s="22"/>
      <c r="J69" s="22"/>
      <c r="K69" s="22"/>
      <c r="L69" s="22"/>
      <c r="M69" s="49"/>
      <c r="N69" s="49"/>
      <c r="O69" s="49"/>
      <c r="P69" s="22"/>
      <c r="Q69" s="22"/>
      <c r="R69" s="22"/>
      <c r="S69" s="22"/>
      <c r="T69" s="11"/>
      <c r="U69" s="62"/>
      <c r="V69" s="62"/>
      <c r="W69" s="62"/>
      <c r="X69" s="11"/>
      <c r="Y69" s="11"/>
      <c r="Z69" s="11"/>
      <c r="AA69" s="11"/>
      <c r="AB69" s="11"/>
      <c r="AC69" s="11"/>
      <c r="AD69" s="7"/>
      <c r="AE69" s="7"/>
      <c r="AF69" s="7"/>
      <c r="AG69" s="7"/>
      <c r="AH69" s="7"/>
      <c r="AI69" s="7"/>
      <c r="AJ69" s="7"/>
      <c r="AK69" s="7"/>
      <c r="AL69" s="7"/>
      <c r="AM69" s="7"/>
      <c r="AN69" s="7"/>
      <c r="AO69" s="7"/>
      <c r="AP69" s="7"/>
      <c r="AQ69" s="7"/>
      <c r="AR69" s="7"/>
      <c r="AS69" s="7"/>
      <c r="AT69" s="7"/>
      <c r="AU69" s="7"/>
      <c r="AV69" s="7"/>
      <c r="AW69" s="36">
        <v>2004</v>
      </c>
      <c r="AX69" s="37">
        <v>33.445</v>
      </c>
      <c r="AY69" s="37">
        <v>0.67233909721916696</v>
      </c>
      <c r="AZ69" s="37">
        <v>45.17</v>
      </c>
      <c r="BA69" s="37">
        <v>0.44391069496531133</v>
      </c>
      <c r="BB69" s="37">
        <v>2.3049999999999997</v>
      </c>
      <c r="BC69" s="37">
        <v>4.6337019557188809E-2</v>
      </c>
      <c r="BD69" s="37">
        <v>1.6125</v>
      </c>
      <c r="BE69" s="37">
        <v>1.5846933708912207E-2</v>
      </c>
      <c r="BF69" s="37">
        <v>31.159999999999997</v>
      </c>
      <c r="BG69" s="37">
        <v>0.66549669315935123</v>
      </c>
      <c r="BH69" s="37">
        <v>48.727500000000006</v>
      </c>
      <c r="BI69" s="37">
        <v>0.5570680416321323</v>
      </c>
      <c r="BJ69" s="37">
        <v>3.665</v>
      </c>
      <c r="BK69" s="37">
        <v>7.8274883839185586E-2</v>
      </c>
      <c r="BL69" s="37">
        <v>2.4649999999999999</v>
      </c>
      <c r="BM69" s="37">
        <v>2.8180652047061841E-2</v>
      </c>
      <c r="BN69" s="36">
        <f>IF($F$5=ref!$B$2,BK69,IF($F$5=ref!$B$3,BC69,IF($F$5="Caries-free at 5 Years of Age",BG69,IF($F$5="Caries-free at Year 8",AY69))))</f>
        <v>7.8274883839185586E-2</v>
      </c>
      <c r="BO69" s="36">
        <f>IF($F$5 =ref!$B$2, BM69,IF($F$5=ref!$B$3,BE69, IF($F$5 = "Caries-free at 5 Years of Age", BI69,IF($F$5="Caries-free at Year 8",BA69))))</f>
        <v>2.8180652047061841E-2</v>
      </c>
      <c r="BP69" s="36"/>
      <c r="BQ69" s="36"/>
      <c r="BR69" s="36"/>
      <c r="BS69" s="36"/>
      <c r="BT69" s="36"/>
      <c r="BU69" s="36"/>
      <c r="BV69" s="36"/>
      <c r="BW69" s="36"/>
      <c r="BX69" s="36"/>
      <c r="BY69" s="38"/>
      <c r="BZ69" s="38"/>
      <c r="CA69" s="38"/>
    </row>
    <row r="70" spans="1:79" s="35" customFormat="1" x14ac:dyDescent="0.25">
      <c r="A70" s="59"/>
      <c r="B70" s="49"/>
      <c r="C70" s="49"/>
      <c r="D70" s="49"/>
      <c r="E70" s="22"/>
      <c r="F70" s="22"/>
      <c r="G70" s="22"/>
      <c r="H70" s="58"/>
      <c r="I70" s="58"/>
      <c r="J70" s="58"/>
      <c r="K70" s="22"/>
      <c r="L70" s="22"/>
      <c r="M70" s="49"/>
      <c r="N70" s="49"/>
      <c r="O70" s="49"/>
      <c r="P70" s="22"/>
      <c r="Q70" s="22"/>
      <c r="R70" s="22"/>
      <c r="S70" s="22"/>
      <c r="T70" s="11"/>
      <c r="U70" s="62"/>
      <c r="V70" s="62"/>
      <c r="W70" s="62"/>
      <c r="X70" s="11"/>
      <c r="Y70" s="11"/>
      <c r="Z70" s="11"/>
      <c r="AA70" s="11"/>
      <c r="AB70" s="11"/>
      <c r="AC70" s="11"/>
      <c r="AD70" s="7"/>
      <c r="AE70" s="7"/>
      <c r="AF70" s="7"/>
      <c r="AG70" s="7"/>
      <c r="AH70" s="7"/>
      <c r="AI70" s="7"/>
      <c r="AJ70" s="7"/>
      <c r="AK70" s="7"/>
      <c r="AL70" s="7"/>
      <c r="AM70" s="7"/>
      <c r="AN70" s="7"/>
      <c r="AO70" s="7"/>
      <c r="AP70" s="7"/>
      <c r="AQ70" s="7"/>
      <c r="AR70" s="7"/>
      <c r="AS70" s="7"/>
      <c r="AT70" s="7"/>
      <c r="AU70" s="7"/>
      <c r="AV70" s="7"/>
      <c r="AW70" s="36">
        <v>2005</v>
      </c>
      <c r="AX70" s="37">
        <v>32.94</v>
      </c>
      <c r="AY70" s="37">
        <v>0.69190328726275241</v>
      </c>
      <c r="AZ70" s="37">
        <v>42.19</v>
      </c>
      <c r="BA70" s="37">
        <v>0.41870777255022362</v>
      </c>
      <c r="BB70" s="37">
        <v>2.4649999999999999</v>
      </c>
      <c r="BC70" s="37">
        <v>5.1777219280591515E-2</v>
      </c>
      <c r="BD70" s="37">
        <v>1.75</v>
      </c>
      <c r="BE70" s="37">
        <v>1.7367589522704226E-2</v>
      </c>
      <c r="BF70" s="37">
        <v>30.700000000000003</v>
      </c>
      <c r="BG70" s="37">
        <v>0.63486845261975688</v>
      </c>
      <c r="BH70" s="37">
        <v>40.155000000000001</v>
      </c>
      <c r="BI70" s="37">
        <v>0.47030999596277823</v>
      </c>
      <c r="BJ70" s="37">
        <v>3.7450000000000001</v>
      </c>
      <c r="BK70" s="37">
        <v>7.7445679317947547E-2</v>
      </c>
      <c r="BL70" s="37">
        <v>2.5825</v>
      </c>
      <c r="BM70" s="37">
        <v>3.0247181286860284E-2</v>
      </c>
      <c r="BN70" s="36">
        <f>IF($F$5=ref!$B$2,BK70,IF($F$5=ref!$B$3,BC70,IF($F$5="Caries-free at 5 Years of Age",BG70,IF($F$5="Caries-free at Year 8",AY70))))</f>
        <v>7.7445679317947547E-2</v>
      </c>
      <c r="BO70" s="36">
        <f>IF($F$5 =ref!$B$2, BM70,IF($F$5=ref!$B$3,BE70, IF($F$5 = "Caries-free at 5 Years of Age", BI70,IF($F$5="Caries-free at Year 8",BA70))))</f>
        <v>3.0247181286860284E-2</v>
      </c>
      <c r="BP70" s="36"/>
      <c r="BQ70" s="36"/>
      <c r="BR70" s="36"/>
      <c r="BS70" s="36"/>
      <c r="BT70" s="36"/>
      <c r="BU70" s="36"/>
      <c r="BV70" s="36"/>
      <c r="BW70" s="36"/>
      <c r="BX70" s="36"/>
      <c r="BY70" s="38"/>
      <c r="BZ70" s="38"/>
      <c r="CA70" s="38"/>
    </row>
    <row r="71" spans="1:79" s="35" customFormat="1" x14ac:dyDescent="0.25">
      <c r="A71" s="59"/>
      <c r="B71" s="49"/>
      <c r="C71" s="49"/>
      <c r="D71" s="49"/>
      <c r="E71" s="22"/>
      <c r="F71" s="22"/>
      <c r="G71" s="22"/>
      <c r="H71" s="58"/>
      <c r="I71" s="58"/>
      <c r="J71" s="58"/>
      <c r="K71" s="22"/>
      <c r="L71" s="22"/>
      <c r="M71" s="49"/>
      <c r="N71" s="49"/>
      <c r="O71" s="49"/>
      <c r="P71" s="25"/>
      <c r="Q71" s="22"/>
      <c r="R71" s="22"/>
      <c r="S71" s="22"/>
      <c r="T71" s="11"/>
      <c r="U71" s="62"/>
      <c r="V71" s="62"/>
      <c r="W71" s="62"/>
      <c r="X71" s="11"/>
      <c r="Y71" s="11"/>
      <c r="Z71" s="11"/>
      <c r="AA71" s="11"/>
      <c r="AB71" s="11"/>
      <c r="AC71" s="11"/>
      <c r="AD71" s="7"/>
      <c r="AE71" s="7"/>
      <c r="AF71" s="7"/>
      <c r="AG71" s="7"/>
      <c r="AH71" s="7"/>
      <c r="AI71" s="7"/>
      <c r="AJ71" s="7"/>
      <c r="AK71" s="7"/>
      <c r="AL71" s="7"/>
      <c r="AM71" s="7"/>
      <c r="AN71" s="7"/>
      <c r="AO71" s="7"/>
      <c r="AP71" s="7"/>
      <c r="AQ71" s="7"/>
      <c r="AR71" s="7"/>
      <c r="AS71" s="7"/>
      <c r="AT71" s="7"/>
      <c r="AU71" s="7"/>
      <c r="AV71" s="7"/>
      <c r="AW71" s="36">
        <v>2006</v>
      </c>
      <c r="AX71" s="37">
        <v>28.215</v>
      </c>
      <c r="AY71" s="37">
        <v>0.60595405337277453</v>
      </c>
      <c r="AZ71" s="37">
        <v>43.81</v>
      </c>
      <c r="BA71" s="37">
        <v>0.43254531967240639</v>
      </c>
      <c r="BB71" s="37">
        <v>2.3650000000000002</v>
      </c>
      <c r="BC71" s="37">
        <v>5.0791470360680921E-2</v>
      </c>
      <c r="BD71" s="37">
        <v>1.6700000000000002</v>
      </c>
      <c r="BE71" s="37">
        <v>1.6488260302508988E-2</v>
      </c>
      <c r="BF71" s="37">
        <v>31.215</v>
      </c>
      <c r="BG71" s="37">
        <v>0.65551918062035042</v>
      </c>
      <c r="BH71" s="37">
        <v>46.11</v>
      </c>
      <c r="BI71" s="37">
        <v>0.49214664807569941</v>
      </c>
      <c r="BJ71" s="37">
        <v>3.7649999999999997</v>
      </c>
      <c r="BK71" s="37">
        <v>7.9065504245895216E-2</v>
      </c>
      <c r="BL71" s="37">
        <v>2.6825000000000001</v>
      </c>
      <c r="BM71" s="37">
        <v>2.8631172922642893E-2</v>
      </c>
      <c r="BN71" s="36">
        <f>IF($F$5=ref!$B$2,BK71,IF($F$5=ref!$B$3,BC71,IF($F$5="Caries-free at 5 Years of Age",BG71,IF($F$5="Caries-free at Year 8",AY71))))</f>
        <v>7.9065504245895216E-2</v>
      </c>
      <c r="BO71" s="36">
        <f>IF($F$5 =ref!$B$2, BM71,IF($F$5=ref!$B$3,BE71, IF($F$5 = "Caries-free at 5 Years of Age", BI71,IF($F$5="Caries-free at Year 8",BA71))))</f>
        <v>2.8631172922642893E-2</v>
      </c>
      <c r="BP71" s="36"/>
      <c r="BQ71" s="36"/>
      <c r="BR71" s="36"/>
      <c r="BS71" s="36"/>
      <c r="BT71" s="36"/>
      <c r="BU71" s="36"/>
      <c r="BV71" s="36"/>
      <c r="BW71" s="36"/>
      <c r="BX71" s="36"/>
      <c r="BY71" s="38"/>
      <c r="BZ71" s="38"/>
      <c r="CA71" s="38"/>
    </row>
    <row r="72" spans="1:79" s="35" customFormat="1" x14ac:dyDescent="0.25">
      <c r="A72" s="59"/>
      <c r="B72" s="49"/>
      <c r="C72" s="49"/>
      <c r="D72" s="49"/>
      <c r="E72" s="25"/>
      <c r="F72" s="25"/>
      <c r="G72" s="25"/>
      <c r="H72" s="22"/>
      <c r="I72" s="22"/>
      <c r="J72" s="22"/>
      <c r="K72" s="22"/>
      <c r="L72" s="22"/>
      <c r="M72" s="49"/>
      <c r="N72" s="49"/>
      <c r="O72" s="49"/>
      <c r="P72" s="25"/>
      <c r="Q72" s="22"/>
      <c r="R72" s="22"/>
      <c r="S72" s="22"/>
      <c r="T72" s="11"/>
      <c r="U72" s="62"/>
      <c r="V72" s="62"/>
      <c r="W72" s="62"/>
      <c r="X72" s="11"/>
      <c r="Y72" s="11"/>
      <c r="Z72" s="11"/>
      <c r="AA72" s="11"/>
      <c r="AB72" s="11"/>
      <c r="AC72" s="11"/>
      <c r="AD72" s="7"/>
      <c r="AE72" s="7"/>
      <c r="AF72" s="7"/>
      <c r="AG72" s="7"/>
      <c r="AH72" s="7"/>
      <c r="AI72" s="7"/>
      <c r="AJ72" s="7"/>
      <c r="AK72" s="7"/>
      <c r="AL72" s="7"/>
      <c r="AM72" s="7"/>
      <c r="AN72" s="7"/>
      <c r="AO72" s="7"/>
      <c r="AP72" s="7"/>
      <c r="AQ72" s="7"/>
      <c r="AR72" s="7"/>
      <c r="AS72" s="7"/>
      <c r="AT72" s="7"/>
      <c r="AU72" s="7"/>
      <c r="AV72" s="7"/>
      <c r="AW72" s="36">
        <v>2007</v>
      </c>
      <c r="AX72" s="37">
        <v>30.79</v>
      </c>
      <c r="AY72" s="37">
        <v>0.62699847866262826</v>
      </c>
      <c r="AZ72" s="37">
        <v>45.8125</v>
      </c>
      <c r="BA72" s="37">
        <v>0.46475976128829705</v>
      </c>
      <c r="BB72" s="37">
        <v>2.4350000000000001</v>
      </c>
      <c r="BC72" s="37">
        <v>4.9585621810441703E-2</v>
      </c>
      <c r="BD72" s="37">
        <v>1.6625000000000001</v>
      </c>
      <c r="BE72" s="37">
        <v>1.6865770327788132E-2</v>
      </c>
      <c r="BF72" s="37">
        <v>28.98</v>
      </c>
      <c r="BG72" s="37">
        <v>0.64199115405154084</v>
      </c>
      <c r="BH72" s="37">
        <v>44.6175</v>
      </c>
      <c r="BI72" s="37">
        <v>0.54281368355319759</v>
      </c>
      <c r="BJ72" s="37">
        <v>3.64</v>
      </c>
      <c r="BK72" s="37">
        <v>8.0636570074106587E-2</v>
      </c>
      <c r="BL72" s="37">
        <v>2.9350000000000001</v>
      </c>
      <c r="BM72" s="37">
        <v>3.5707024401381411E-2</v>
      </c>
      <c r="BN72" s="36">
        <f>IF($F$5=ref!$B$2,BK72,IF($F$5=ref!$B$3,BC72,IF($F$5="Caries-free at 5 Years of Age",BG72,IF($F$5="Caries-free at Year 8",AY72))))</f>
        <v>8.0636570074106587E-2</v>
      </c>
      <c r="BO72" s="36">
        <f>IF($F$5 =ref!$B$2, BM72,IF($F$5=ref!$B$3,BE72, IF($F$5 = "Caries-free at 5 Years of Age", BI72,IF($F$5="Caries-free at Year 8",BA72))))</f>
        <v>3.5707024401381411E-2</v>
      </c>
      <c r="BP72" s="36"/>
      <c r="BQ72" s="36"/>
      <c r="BR72" s="36"/>
      <c r="BS72" s="36"/>
      <c r="BT72" s="36"/>
      <c r="BU72" s="36"/>
      <c r="BV72" s="36"/>
      <c r="BW72" s="36"/>
      <c r="BX72" s="36"/>
      <c r="BY72" s="38"/>
      <c r="BZ72" s="38"/>
      <c r="CA72" s="38"/>
    </row>
    <row r="73" spans="1:79" x14ac:dyDescent="0.25">
      <c r="A73" s="22"/>
      <c r="B73" s="22"/>
      <c r="C73" s="22"/>
      <c r="D73" s="22"/>
      <c r="E73" s="22"/>
      <c r="F73" s="22"/>
      <c r="G73" s="22"/>
      <c r="H73" s="22"/>
      <c r="I73" s="22"/>
      <c r="J73" s="22"/>
      <c r="K73" s="22"/>
      <c r="L73" s="22"/>
      <c r="M73" s="49"/>
      <c r="N73" s="49"/>
      <c r="O73" s="49"/>
      <c r="P73" s="22"/>
      <c r="Q73" s="22"/>
      <c r="R73" s="22"/>
      <c r="S73" s="22"/>
      <c r="T73" s="11"/>
      <c r="U73" s="11"/>
      <c r="V73" s="11"/>
      <c r="W73" s="11"/>
      <c r="X73" s="11"/>
      <c r="Y73" s="11"/>
      <c r="Z73" s="11"/>
      <c r="AA73" s="11"/>
      <c r="AB73" s="11"/>
      <c r="AC73" s="11"/>
      <c r="AW73" s="36">
        <v>2008</v>
      </c>
      <c r="AX73" s="37">
        <v>37.24</v>
      </c>
      <c r="AY73" s="37">
        <v>0.74807866588544092</v>
      </c>
      <c r="AZ73" s="37">
        <v>49.480000000000004</v>
      </c>
      <c r="BA73" s="37">
        <v>0.5007199138047258</v>
      </c>
      <c r="BB73" s="37">
        <v>2.19</v>
      </c>
      <c r="BC73" s="37">
        <v>4.399281091001922E-2</v>
      </c>
      <c r="BD73" s="37">
        <v>1.5275000000000001</v>
      </c>
      <c r="BE73" s="37">
        <v>1.5457754008421962E-2</v>
      </c>
      <c r="BF73" s="37">
        <v>36.004999999999995</v>
      </c>
      <c r="BG73" s="37">
        <v>0.75563287694428771</v>
      </c>
      <c r="BH73" s="37">
        <v>48.745000000000005</v>
      </c>
      <c r="BI73" s="37">
        <v>0.54690919771530411</v>
      </c>
      <c r="BJ73" s="37">
        <v>3.5150000000000001</v>
      </c>
      <c r="BK73" s="37">
        <v>7.3768908830972688E-2</v>
      </c>
      <c r="BL73" s="37">
        <v>2.48</v>
      </c>
      <c r="BM73" s="37">
        <v>2.7825106376735131E-2</v>
      </c>
      <c r="BN73" s="36">
        <f>IF($F$5=ref!$B$2,BK73,IF($F$5=ref!$B$3,BC73,IF($F$5="Caries-free at 5 Years of Age",BG73,IF($F$5="Caries-free at Year 8",AY73))))</f>
        <v>7.3768908830972688E-2</v>
      </c>
      <c r="BO73" s="36">
        <f>IF($F$5 =ref!$B$2, BM73,IF($F$5=ref!$B$3,BE73, IF($F$5 = "Caries-free at 5 Years of Age", BI73,IF($F$5="Caries-free at Year 8",BA73))))</f>
        <v>2.7825106376735131E-2</v>
      </c>
      <c r="BP73" s="36"/>
      <c r="BQ73" s="36"/>
      <c r="BR73" s="36"/>
      <c r="BS73" s="14"/>
      <c r="BT73" s="14"/>
      <c r="BU73" s="14"/>
      <c r="BV73" s="14"/>
      <c r="BW73" s="14"/>
      <c r="BX73" s="14"/>
      <c r="BY73" s="60"/>
      <c r="BZ73" s="60"/>
      <c r="CA73" s="60"/>
    </row>
    <row r="74" spans="1:79" x14ac:dyDescent="0.25">
      <c r="A74" s="11"/>
      <c r="B74" s="11"/>
      <c r="C74" s="11"/>
      <c r="D74" s="11"/>
      <c r="E74" s="11"/>
      <c r="F74" s="11"/>
      <c r="G74" s="11"/>
      <c r="H74" s="11"/>
      <c r="I74" s="11"/>
      <c r="J74" s="11"/>
      <c r="K74" s="11"/>
      <c r="L74" s="11"/>
      <c r="M74" s="24"/>
      <c r="N74" s="24"/>
      <c r="O74" s="24"/>
      <c r="P74" s="22"/>
      <c r="Q74" s="22"/>
      <c r="R74" s="22"/>
      <c r="S74" s="22"/>
      <c r="T74" s="11"/>
      <c r="U74" s="11"/>
      <c r="V74" s="11"/>
      <c r="W74" s="11"/>
      <c r="X74" s="11"/>
      <c r="Y74" s="11"/>
      <c r="Z74" s="11"/>
      <c r="AA74" s="11"/>
      <c r="AB74" s="11"/>
      <c r="AC74" s="11"/>
      <c r="AW74" s="36">
        <v>2009</v>
      </c>
      <c r="AX74" s="37">
        <v>41.01</v>
      </c>
      <c r="AY74" s="37">
        <v>0.83792418604062058</v>
      </c>
      <c r="AZ74" s="37">
        <v>47.197500000000005</v>
      </c>
      <c r="BA74" s="37">
        <v>0.48080457444060859</v>
      </c>
      <c r="BB74" s="37">
        <v>2.06</v>
      </c>
      <c r="BC74" s="37">
        <v>4.2090315124205767E-2</v>
      </c>
      <c r="BD74" s="37">
        <v>1.6099999999999999</v>
      </c>
      <c r="BE74" s="37">
        <v>1.6401194233791615E-2</v>
      </c>
      <c r="BF74" s="37">
        <v>34.305</v>
      </c>
      <c r="BG74" s="37">
        <v>0.67349017709654102</v>
      </c>
      <c r="BH74" s="37">
        <v>47.82</v>
      </c>
      <c r="BI74" s="37">
        <v>0.51088304544228846</v>
      </c>
      <c r="BJ74" s="37">
        <v>3.88</v>
      </c>
      <c r="BK74" s="37">
        <v>7.6173790617536194E-2</v>
      </c>
      <c r="BL74" s="37">
        <v>2.5925000000000002</v>
      </c>
      <c r="BM74" s="37">
        <v>0.10782281756851313</v>
      </c>
      <c r="BN74" s="36">
        <f>IF($F$5=ref!$B$2,BK74,IF($F$5=ref!$B$3,BC74,IF($F$5="Caries-free at 5 Years of Age",BG74,IF($F$5="Caries-free at Year 8",AY74))))</f>
        <v>7.6173790617536194E-2</v>
      </c>
      <c r="BO74" s="36">
        <f>IF($F$5 =ref!$B$2, BM74,IF($F$5=ref!$B$3,BE74, IF($F$5 = "Caries-free at 5 Years of Age", BI74,IF($F$5="Caries-free at Year 8",BA74))))</f>
        <v>0.10782281756851313</v>
      </c>
      <c r="BP74" s="36"/>
      <c r="BQ74" s="36"/>
      <c r="BR74" s="36"/>
      <c r="BS74" s="14"/>
      <c r="BT74" s="14"/>
      <c r="BU74" s="14"/>
      <c r="BV74" s="14"/>
      <c r="BW74" s="14"/>
      <c r="BX74" s="14"/>
      <c r="BY74" s="60"/>
      <c r="BZ74" s="60"/>
      <c r="CA74" s="60"/>
    </row>
    <row r="75" spans="1:79" x14ac:dyDescent="0.25">
      <c r="A75" s="11"/>
      <c r="B75" s="11"/>
      <c r="C75" s="11"/>
      <c r="D75" s="11"/>
      <c r="E75" s="11"/>
      <c r="F75" s="11"/>
      <c r="G75" s="11"/>
      <c r="H75" s="11"/>
      <c r="I75" s="11"/>
      <c r="J75" s="11"/>
      <c r="K75" s="11"/>
      <c r="L75" s="11"/>
      <c r="M75" s="24"/>
      <c r="N75" s="24"/>
      <c r="O75" s="24"/>
      <c r="P75" s="25"/>
      <c r="Q75" s="22"/>
      <c r="R75" s="22"/>
      <c r="S75" s="22"/>
      <c r="T75" s="11"/>
      <c r="U75" s="11"/>
      <c r="V75" s="11"/>
      <c r="W75" s="11"/>
      <c r="X75" s="11"/>
      <c r="Y75" s="11"/>
      <c r="Z75" s="11"/>
      <c r="AA75" s="11"/>
      <c r="AB75" s="11"/>
      <c r="AC75" s="11"/>
      <c r="AW75" s="36">
        <v>2010</v>
      </c>
      <c r="AX75" s="37">
        <v>39.865000000000002</v>
      </c>
      <c r="AY75" s="37">
        <v>0.80194779821299766</v>
      </c>
      <c r="AZ75" s="37">
        <v>49.540000000000006</v>
      </c>
      <c r="BA75" s="37">
        <v>0.50311402509540304</v>
      </c>
      <c r="BB75" s="37">
        <v>1.9100000000000001</v>
      </c>
      <c r="BC75" s="37">
        <v>3.8422683922910462E-2</v>
      </c>
      <c r="BD75" s="37">
        <v>1.3224999999999998</v>
      </c>
      <c r="BE75" s="37">
        <v>1.3430930524599724E-2</v>
      </c>
      <c r="BF75" s="37">
        <v>37.93</v>
      </c>
      <c r="BG75" s="37">
        <v>0.74087637051596977</v>
      </c>
      <c r="BH75" s="37">
        <v>48.822499999999998</v>
      </c>
      <c r="BI75" s="37">
        <v>0.51382798927327855</v>
      </c>
      <c r="BJ75" s="37">
        <v>3.1349999999999998</v>
      </c>
      <c r="BK75" s="37">
        <v>6.1235102071383211E-2</v>
      </c>
      <c r="BL75" s="37">
        <v>2.4500000000000002</v>
      </c>
      <c r="BM75" s="37">
        <v>2.5784803599150648E-2</v>
      </c>
      <c r="BN75" s="36">
        <f>IF($F$5=ref!$B$2,BK75,IF($F$5=ref!$B$3,BC75,IF($F$5="Caries-free at 5 Years of Age",BG75,IF($F$5="Caries-free at Year 8",AY75))))</f>
        <v>6.1235102071383211E-2</v>
      </c>
      <c r="BO75" s="36">
        <f>IF($F$5 =ref!$B$2, BM75,IF($F$5=ref!$B$3,BE75, IF($F$5 = "Caries-free at 5 Years of Age", BI75,IF($F$5="Caries-free at Year 8",BA75))))</f>
        <v>2.5784803599150648E-2</v>
      </c>
      <c r="BP75" s="36"/>
      <c r="BQ75" s="36"/>
      <c r="BR75" s="36"/>
      <c r="BS75" s="14"/>
      <c r="BT75" s="14"/>
      <c r="BU75" s="14"/>
      <c r="BV75" s="14"/>
      <c r="BW75" s="14"/>
      <c r="BX75" s="14"/>
      <c r="BY75" s="60"/>
      <c r="BZ75" s="60"/>
      <c r="CA75" s="60"/>
    </row>
    <row r="76" spans="1:79" x14ac:dyDescent="0.25">
      <c r="P76" s="34"/>
      <c r="Q76" s="33"/>
      <c r="R76" s="33"/>
      <c r="S76" s="33"/>
      <c r="AW76" s="36">
        <v>2011</v>
      </c>
      <c r="AX76" s="37">
        <v>45.545000000000002</v>
      </c>
      <c r="AY76" s="37">
        <v>0.94762621303226591</v>
      </c>
      <c r="AZ76" s="37">
        <v>48.564999999999998</v>
      </c>
      <c r="BA76" s="37">
        <v>0.50318646843262071</v>
      </c>
      <c r="BB76" s="37">
        <v>1.5249999999999999</v>
      </c>
      <c r="BC76" s="37">
        <v>3.1729717309786042E-2</v>
      </c>
      <c r="BD76" s="37">
        <v>1.4850000000000001</v>
      </c>
      <c r="BE76" s="37">
        <v>1.5386222704055222E-2</v>
      </c>
      <c r="BF76" s="37">
        <v>40.950000000000003</v>
      </c>
      <c r="BG76" s="37">
        <v>0.80792938301061201</v>
      </c>
      <c r="BH76" s="37">
        <v>51.647500000000001</v>
      </c>
      <c r="BI76" s="37">
        <v>0.56342824241402045</v>
      </c>
      <c r="BJ76" s="37">
        <v>3.0650000000000004</v>
      </c>
      <c r="BK76" s="37">
        <v>6.0471393380403561E-2</v>
      </c>
      <c r="BL76" s="37">
        <v>2.3675000000000002</v>
      </c>
      <c r="BM76" s="37">
        <v>2.5827317177311456E-2</v>
      </c>
      <c r="BN76" s="36">
        <f>IF($F$5=ref!$B$2,BK76,IF($F$5=ref!$B$3,BC76,IF($F$5="Caries-free at 5 Years of Age",BG76,IF($F$5="Caries-free at Year 8",AY76))))</f>
        <v>6.0471393380403561E-2</v>
      </c>
      <c r="BO76" s="36">
        <f>IF($F$5 =ref!$B$2, BM76,IF($F$5=ref!$B$3,BE76, IF($F$5 = "Caries-free at 5 Years of Age", BI76,IF($F$5="Caries-free at Year 8",BA76))))</f>
        <v>2.5827317177311456E-2</v>
      </c>
      <c r="BP76" s="36"/>
      <c r="BQ76" s="36"/>
      <c r="BR76" s="36"/>
      <c r="BS76" s="14"/>
      <c r="BT76" s="14"/>
      <c r="BU76" s="14"/>
      <c r="BV76" s="14"/>
      <c r="BW76" s="14"/>
      <c r="BX76" s="14"/>
      <c r="BY76" s="60"/>
      <c r="BZ76" s="60"/>
      <c r="CA76" s="60"/>
    </row>
    <row r="77" spans="1:79" x14ac:dyDescent="0.25">
      <c r="P77" s="33"/>
      <c r="Q77" s="33"/>
      <c r="R77" s="33"/>
      <c r="S77" s="33"/>
      <c r="AW77" s="36">
        <v>2012</v>
      </c>
      <c r="AX77" s="37">
        <v>43.774999999999999</v>
      </c>
      <c r="AY77" s="37">
        <v>0.88773949144306652</v>
      </c>
      <c r="AZ77" s="37">
        <v>53.045000000000002</v>
      </c>
      <c r="BA77" s="37">
        <v>0.55271747908376057</v>
      </c>
      <c r="BB77" s="37">
        <v>1.7450000000000001</v>
      </c>
      <c r="BC77" s="37">
        <v>3.5387902057524873E-2</v>
      </c>
      <c r="BD77" s="37">
        <v>1.3374999999999999</v>
      </c>
      <c r="BE77" s="37">
        <v>1.3936462027986235E-2</v>
      </c>
      <c r="BF77" s="37">
        <v>38.67</v>
      </c>
      <c r="BG77" s="37">
        <v>0.74804825377162498</v>
      </c>
      <c r="BH77" s="37">
        <v>53.11</v>
      </c>
      <c r="BI77" s="37">
        <v>0.56843815011069343</v>
      </c>
      <c r="BJ77" s="37">
        <v>3.145</v>
      </c>
      <c r="BK77" s="37">
        <v>6.0838162868160336E-2</v>
      </c>
      <c r="BL77" s="37">
        <v>2.1950000000000003</v>
      </c>
      <c r="BM77" s="37">
        <v>2.3493160223930942E-2</v>
      </c>
      <c r="BN77" s="36">
        <f>IF($F$5=ref!$B$2,BK77,IF($F$5=ref!$B$3,BC77,IF($F$5="Caries-free at 5 Years of Age",BG77,IF($F$5="Caries-free at Year 8",AY77))))</f>
        <v>6.0838162868160336E-2</v>
      </c>
      <c r="BO77" s="36">
        <f>IF($F$5 =ref!$B$2, BM77,IF($F$5=ref!$B$3,BE77, IF($F$5 = "Caries-free at 5 Years of Age", BI77,IF($F$5="Caries-free at Year 8",BA77))))</f>
        <v>2.3493160223930942E-2</v>
      </c>
      <c r="BP77" s="36"/>
      <c r="BQ77" s="36"/>
      <c r="BR77" s="36"/>
      <c r="BS77" s="14"/>
      <c r="BT77" s="14"/>
      <c r="BU77" s="14"/>
      <c r="BV77" s="14"/>
      <c r="BW77" s="14"/>
      <c r="BX77" s="14"/>
      <c r="BY77" s="60"/>
      <c r="BZ77" s="60"/>
      <c r="CA77" s="60"/>
    </row>
    <row r="78" spans="1:79" x14ac:dyDescent="0.25">
      <c r="AW78" s="36">
        <v>2013</v>
      </c>
      <c r="AX78" s="15">
        <v>42.92</v>
      </c>
      <c r="AY78" s="15">
        <v>0.83938737463659951</v>
      </c>
      <c r="AZ78" s="15">
        <v>49.795000000000002</v>
      </c>
      <c r="BA78" s="15">
        <v>0.50640440262443964</v>
      </c>
      <c r="BB78" s="15">
        <v>1.6850000000000001</v>
      </c>
      <c r="BC78" s="15">
        <v>3.2953581692979267E-2</v>
      </c>
      <c r="BD78" s="15">
        <v>1.3075000000000001</v>
      </c>
      <c r="BE78" s="15">
        <v>1.3296992799105426E-2</v>
      </c>
      <c r="BF78" s="15">
        <v>37.409999999999997</v>
      </c>
      <c r="BG78" s="15">
        <v>0.69765588192299277</v>
      </c>
      <c r="BH78" s="15">
        <v>50.14</v>
      </c>
      <c r="BI78" s="15">
        <v>0.5036204261913817</v>
      </c>
      <c r="BJ78" s="15">
        <v>3.1150000000000002</v>
      </c>
      <c r="BK78" s="15">
        <v>5.8091367874635737E-2</v>
      </c>
      <c r="BL78" s="15">
        <v>2.395</v>
      </c>
      <c r="BM78" s="15">
        <v>2.4056061442528105E-2</v>
      </c>
      <c r="BN78" s="36">
        <f>IF($F$5=ref!$B$2,BK78,IF($F$5=ref!$B$3,BC78,IF($F$5="Caries-free at 5 Years of Age",BG78,IF($F$5="Caries-free at Year 8",AY78))))</f>
        <v>5.8091367874635737E-2</v>
      </c>
      <c r="BO78" s="36">
        <f>IF($F$5 =ref!$B$2, BM78,IF($F$5=ref!$B$3,BE78, IF($F$5 = "Caries-free at 5 Years of Age", BI78,IF($F$5="Caries-free at Year 8",BA78))))</f>
        <v>2.4056061442528105E-2</v>
      </c>
      <c r="BP78" s="14"/>
      <c r="BQ78" s="14"/>
      <c r="BR78" s="14"/>
      <c r="BS78" s="14"/>
      <c r="BT78" s="14"/>
      <c r="BU78" s="14"/>
      <c r="BV78" s="14"/>
      <c r="BW78" s="14"/>
      <c r="BX78" s="14"/>
      <c r="BY78" s="60"/>
      <c r="BZ78" s="60"/>
      <c r="CA78" s="60"/>
    </row>
    <row r="79" spans="1:79" x14ac:dyDescent="0.25">
      <c r="AW79" s="36">
        <v>2014</v>
      </c>
      <c r="AX79" s="15">
        <v>47.89</v>
      </c>
      <c r="AY79" s="15">
        <v>1.0004841810892671</v>
      </c>
      <c r="AZ79" s="15">
        <v>52.972499999999997</v>
      </c>
      <c r="BA79" s="15">
        <v>0.55616691448121769</v>
      </c>
      <c r="BB79" s="15">
        <v>1.66</v>
      </c>
      <c r="BC79" s="15">
        <v>3.4679551902446926E-2</v>
      </c>
      <c r="BD79" s="15">
        <v>1.2450000000000001</v>
      </c>
      <c r="BE79" s="15">
        <v>1.3071457992904168E-2</v>
      </c>
      <c r="BF79" s="15">
        <v>40.045000000000002</v>
      </c>
      <c r="BG79" s="15">
        <v>0.78067766185375864</v>
      </c>
      <c r="BH79" s="15">
        <v>51.432500000000005</v>
      </c>
      <c r="BI79" s="15">
        <v>0.58656732458948813</v>
      </c>
      <c r="BJ79" s="15">
        <v>2.94</v>
      </c>
      <c r="BK79" s="15">
        <v>5.7315328401799231E-2</v>
      </c>
      <c r="BL79" s="15">
        <v>2.3450000000000002</v>
      </c>
      <c r="BM79" s="15">
        <v>2.6743797718608849E-2</v>
      </c>
      <c r="BN79" s="36">
        <f>IF($F$5=ref!$B$2,BK79,IF($F$5=ref!$B$3,BC79,IF($F$5="Caries-free at 5 Years of Age",BG79,IF($F$5="Caries-free at Year 8",AY79))))</f>
        <v>5.7315328401799231E-2</v>
      </c>
      <c r="BO79" s="36">
        <f>IF($F$5 =ref!$B$2, BM79,IF($F$5=ref!$B$3,BE79, IF($F$5 = "Caries-free at 5 Years of Age", BI79,IF($F$5="Caries-free at Year 8",BA79))))</f>
        <v>2.6743797718608849E-2</v>
      </c>
      <c r="BP79" s="14"/>
      <c r="BQ79" s="14"/>
      <c r="BR79" s="14"/>
      <c r="BS79" s="14"/>
      <c r="BT79" s="14"/>
      <c r="BU79" s="14"/>
      <c r="BV79" s="14"/>
      <c r="BW79" s="14"/>
      <c r="BX79" s="14"/>
      <c r="BY79" s="60"/>
      <c r="BZ79" s="60"/>
      <c r="CA79" s="60"/>
    </row>
    <row r="80" spans="1:79" x14ac:dyDescent="0.25">
      <c r="AW80" s="36">
        <v>2015</v>
      </c>
      <c r="AX80" s="15">
        <v>49.58</v>
      </c>
      <c r="AY80" s="15">
        <v>0.92528354225428455</v>
      </c>
      <c r="AZ80" s="15">
        <v>56.86</v>
      </c>
      <c r="BA80" s="15">
        <v>0.58151950588645018</v>
      </c>
      <c r="BB80" s="15">
        <v>1.335</v>
      </c>
      <c r="BC80" s="15">
        <v>2.4914351127661754E-2</v>
      </c>
      <c r="BD80" s="15">
        <v>1.0574999999999999</v>
      </c>
      <c r="BE80" s="15">
        <v>1.0815280996745006E-2</v>
      </c>
      <c r="BF80" s="15">
        <v>39.47</v>
      </c>
      <c r="BG80" s="15">
        <v>0.78043154970156781</v>
      </c>
      <c r="BH80" s="15">
        <v>50.962499999999999</v>
      </c>
      <c r="BI80" s="15">
        <v>0.52475990162801689</v>
      </c>
      <c r="BJ80" s="15">
        <v>2.9000000000000004</v>
      </c>
      <c r="BK80" s="15">
        <v>5.7341056350001196E-2</v>
      </c>
      <c r="BL80" s="15">
        <v>2.4000000000000004</v>
      </c>
      <c r="BM80" s="15">
        <v>2.4712754749222288E-2</v>
      </c>
      <c r="BN80" s="36">
        <f>IF($F$5=ref!$B$2,BK80,IF($F$5=ref!$B$3,BC80,IF($F$5="Caries-free at 5 Years of Age",BG80,IF($F$5="Caries-free at Year 8",AY80))))</f>
        <v>5.7341056350001196E-2</v>
      </c>
      <c r="BO80" s="36">
        <f>IF($F$5 =ref!$B$2, BM80,IF($F$5=ref!$B$3,BE80, IF($F$5 = "Caries-free at 5 Years of Age", BI80,IF($F$5="Caries-free at Year 8",BA80))))</f>
        <v>2.4712754749222288E-2</v>
      </c>
      <c r="BP80" s="14"/>
      <c r="BQ80" s="14"/>
      <c r="BR80" s="14"/>
      <c r="BS80" s="14"/>
      <c r="BT80" s="14"/>
      <c r="BU80" s="14"/>
      <c r="BV80" s="14"/>
      <c r="BW80" s="14"/>
      <c r="BX80" s="14"/>
      <c r="BY80" s="60"/>
      <c r="BZ80" s="60"/>
      <c r="CA80" s="60"/>
    </row>
    <row r="81" spans="49:79" x14ac:dyDescent="0.25">
      <c r="AW81" s="36">
        <v>2016</v>
      </c>
      <c r="AX81" s="15">
        <v>52.075000000000003</v>
      </c>
      <c r="AY81" s="15">
        <v>1.0301392966290563</v>
      </c>
      <c r="AZ81" s="15">
        <v>57.642499999999998</v>
      </c>
      <c r="BA81" s="15">
        <v>0.58334482236317642</v>
      </c>
      <c r="BB81" s="15">
        <v>1.3450000000000002</v>
      </c>
      <c r="BC81" s="15">
        <v>2.6606574248028442E-2</v>
      </c>
      <c r="BD81" s="15">
        <v>1.0575000000000001</v>
      </c>
      <c r="BE81" s="15">
        <v>1.0701949944035375E-2</v>
      </c>
      <c r="BF81" s="15">
        <v>41.35</v>
      </c>
      <c r="BG81" s="15">
        <v>0.78456517207343912</v>
      </c>
      <c r="BH81" s="15">
        <v>51.537500000000001</v>
      </c>
      <c r="BI81" s="15">
        <v>0.5348673996178589</v>
      </c>
      <c r="BJ81" s="15">
        <v>2.9049999999999998</v>
      </c>
      <c r="BK81" s="15">
        <v>5.5118786574929635E-2</v>
      </c>
      <c r="BL81" s="15">
        <v>2.37</v>
      </c>
      <c r="BM81" s="15">
        <v>2.459637617452002E-2</v>
      </c>
      <c r="BN81" s="36">
        <f>IF($F$5=ref!$B$2,BK81,IF($F$5=ref!$B$3,BC81,IF($F$5="Caries-free at 5 Years of Age",BG81,IF($F$5="Caries-free at Year 8",AY81))))</f>
        <v>5.5118786574929635E-2</v>
      </c>
      <c r="BO81" s="36">
        <f>IF($F$5 =ref!$B$2, BM81,IF($F$5=ref!$B$3,BE81, IF($F$5 = "Caries-free at 5 Years of Age", BI81,IF($F$5="Caries-free at Year 8",BA81))))</f>
        <v>2.459637617452002E-2</v>
      </c>
      <c r="BP81" s="14"/>
      <c r="BQ81" s="14"/>
      <c r="BR81" s="14"/>
      <c r="BS81" s="14"/>
      <c r="BT81" s="14"/>
      <c r="BU81" s="14"/>
      <c r="BV81" s="14"/>
      <c r="BW81" s="14"/>
      <c r="BX81" s="14"/>
      <c r="BY81" s="60"/>
      <c r="BZ81" s="60"/>
      <c r="CA81" s="60"/>
    </row>
    <row r="82" spans="49:79" x14ac:dyDescent="0.25">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60"/>
      <c r="BZ82" s="60"/>
      <c r="CA82" s="60"/>
    </row>
    <row r="83" spans="49:79" x14ac:dyDescent="0.25">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60"/>
      <c r="BZ83" s="60"/>
      <c r="CA83" s="60"/>
    </row>
  </sheetData>
  <sheetProtection selectLockedCells="1" selectUnlockedCells="1"/>
  <mergeCells count="70">
    <mergeCell ref="BN65:BO65"/>
    <mergeCell ref="BF63:BM63"/>
    <mergeCell ref="BB64:BE64"/>
    <mergeCell ref="BB65:BC65"/>
    <mergeCell ref="BF64:BI64"/>
    <mergeCell ref="BJ64:BM64"/>
    <mergeCell ref="BF65:BG65"/>
    <mergeCell ref="BH65:BI65"/>
    <mergeCell ref="BJ65:BK65"/>
    <mergeCell ref="BL65:BM65"/>
    <mergeCell ref="AX65:AY65"/>
    <mergeCell ref="AX64:BA64"/>
    <mergeCell ref="AZ65:BA65"/>
    <mergeCell ref="AX63:BE63"/>
    <mergeCell ref="B38:D38"/>
    <mergeCell ref="E38:G38"/>
    <mergeCell ref="U61:W61"/>
    <mergeCell ref="H38:J38"/>
    <mergeCell ref="A37:J37"/>
    <mergeCell ref="BA35:BL35"/>
    <mergeCell ref="BA36:BF36"/>
    <mergeCell ref="U58:W58"/>
    <mergeCell ref="BJ37:BL37"/>
    <mergeCell ref="BA37:BC37"/>
    <mergeCell ref="BD37:BF37"/>
    <mergeCell ref="BG37:BI37"/>
    <mergeCell ref="BG36:BL36"/>
    <mergeCell ref="BM35:BX35"/>
    <mergeCell ref="BM36:BR36"/>
    <mergeCell ref="BS36:BX36"/>
    <mergeCell ref="BM37:BO37"/>
    <mergeCell ref="BP37:BR37"/>
    <mergeCell ref="BS37:BU37"/>
    <mergeCell ref="BV37:BX37"/>
    <mergeCell ref="BA13:BD13"/>
    <mergeCell ref="BE13:BH13"/>
    <mergeCell ref="BI13:BL13"/>
    <mergeCell ref="BA14:BB14"/>
    <mergeCell ref="BC14:BD14"/>
    <mergeCell ref="BE14:BF14"/>
    <mergeCell ref="BG14:BH14"/>
    <mergeCell ref="BI14:BJ14"/>
    <mergeCell ref="BK14:BL14"/>
    <mergeCell ref="BM12:BX12"/>
    <mergeCell ref="A1:G2"/>
    <mergeCell ref="D5:E5"/>
    <mergeCell ref="F5:N5"/>
    <mergeCell ref="X37:Z37"/>
    <mergeCell ref="P37:R37"/>
    <mergeCell ref="BA12:BL12"/>
    <mergeCell ref="BM13:BP13"/>
    <mergeCell ref="BQ13:BT13"/>
    <mergeCell ref="BU13:BX13"/>
    <mergeCell ref="BM14:BN14"/>
    <mergeCell ref="BO14:BP14"/>
    <mergeCell ref="BQ14:BR14"/>
    <mergeCell ref="BS14:BT14"/>
    <mergeCell ref="BU14:BV14"/>
    <mergeCell ref="BW14:BX14"/>
    <mergeCell ref="U72:W72"/>
    <mergeCell ref="U62:W62"/>
    <mergeCell ref="U63:W63"/>
    <mergeCell ref="U64:W64"/>
    <mergeCell ref="U65:W65"/>
    <mergeCell ref="U67:W67"/>
    <mergeCell ref="U68:W68"/>
    <mergeCell ref="U69:W69"/>
    <mergeCell ref="U70:W70"/>
    <mergeCell ref="U71:W71"/>
    <mergeCell ref="U66:W66"/>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ref!$B$2:$B$5</xm:f>
          </x14:formula1>
          <xm:sqref>F5:N5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79"/>
  <sheetViews>
    <sheetView zoomScaleNormal="100" workbookViewId="0">
      <pane ySplit="6" topLeftCell="A7" activePane="bottomLeft" state="frozen"/>
      <selection activeCell="B1" sqref="B1"/>
      <selection pane="bottomLeft" activeCell="F5" sqref="F5:N5"/>
    </sheetView>
  </sheetViews>
  <sheetFormatPr defaultRowHeight="13.2" x14ac:dyDescent="0.25"/>
  <cols>
    <col min="1" max="1" width="21" style="7" customWidth="1"/>
    <col min="2" max="4" width="9.109375" style="7"/>
    <col min="5" max="5" width="11.109375" style="7" customWidth="1"/>
    <col min="6" max="7" width="9.109375" style="7"/>
    <col min="8" max="8" width="13.5546875" style="7" customWidth="1"/>
    <col min="9" max="13" width="9.109375" style="7"/>
    <col min="14" max="14" width="9.88671875" style="7" customWidth="1"/>
    <col min="15" max="38" width="9.109375" style="7"/>
    <col min="39" max="39" width="12.109375" style="7" customWidth="1"/>
    <col min="40" max="76" width="9.109375" style="7"/>
    <col min="77" max="16384" width="8.88671875" style="12"/>
  </cols>
  <sheetData>
    <row r="1" spans="1:67" x14ac:dyDescent="0.25">
      <c r="A1" s="64" t="s">
        <v>9</v>
      </c>
      <c r="B1" s="64"/>
      <c r="C1" s="64"/>
      <c r="D1" s="64"/>
      <c r="E1" s="64"/>
      <c r="F1" s="64"/>
      <c r="G1" s="64"/>
      <c r="H1" s="11"/>
      <c r="I1" s="11"/>
      <c r="J1" s="11"/>
      <c r="K1" s="11"/>
      <c r="L1" s="11"/>
      <c r="M1" s="11"/>
      <c r="N1" s="11"/>
      <c r="O1" s="11"/>
      <c r="P1" s="11"/>
      <c r="Q1" s="11"/>
      <c r="R1" s="11"/>
      <c r="S1" s="11"/>
      <c r="T1" s="11"/>
    </row>
    <row r="2" spans="1:67" x14ac:dyDescent="0.25">
      <c r="A2" s="64"/>
      <c r="B2" s="64"/>
      <c r="C2" s="64"/>
      <c r="D2" s="64"/>
      <c r="E2" s="64"/>
      <c r="F2" s="64"/>
      <c r="G2" s="64"/>
      <c r="H2" s="11"/>
      <c r="I2" s="11"/>
      <c r="J2" s="11"/>
      <c r="K2" s="11"/>
      <c r="L2" s="11"/>
      <c r="M2" s="11"/>
      <c r="N2" s="11"/>
      <c r="O2" s="11"/>
      <c r="P2" s="11"/>
      <c r="Q2" s="11"/>
      <c r="R2" s="11"/>
      <c r="S2" s="11"/>
      <c r="T2" s="11"/>
    </row>
    <row r="3" spans="1:67" x14ac:dyDescent="0.25">
      <c r="A3" s="11"/>
      <c r="B3" s="11"/>
      <c r="C3" s="11"/>
      <c r="D3" s="11"/>
      <c r="E3" s="11"/>
      <c r="F3" s="11"/>
      <c r="G3" s="11"/>
      <c r="H3" s="11"/>
      <c r="I3" s="11"/>
      <c r="J3" s="11"/>
      <c r="K3" s="11"/>
      <c r="L3" s="11"/>
      <c r="M3" s="11"/>
      <c r="N3" s="11"/>
      <c r="O3" s="11"/>
      <c r="P3" s="11"/>
      <c r="Q3" s="11"/>
      <c r="R3" s="11"/>
      <c r="S3" s="11"/>
      <c r="T3" s="11"/>
    </row>
    <row r="4" spans="1:67" x14ac:dyDescent="0.25">
      <c r="A4" s="11"/>
      <c r="B4" s="11"/>
      <c r="C4" s="11"/>
      <c r="D4" s="11"/>
      <c r="E4" s="11"/>
      <c r="F4" s="11"/>
      <c r="G4" s="11"/>
      <c r="H4" s="11"/>
      <c r="I4" s="11"/>
      <c r="J4" s="11"/>
      <c r="K4" s="11"/>
      <c r="L4" s="11"/>
      <c r="M4" s="11"/>
      <c r="N4" s="11"/>
      <c r="O4" s="11"/>
      <c r="P4" s="11"/>
      <c r="Q4" s="11"/>
      <c r="R4" s="11"/>
      <c r="S4" s="11"/>
      <c r="T4" s="11"/>
    </row>
    <row r="5" spans="1:67" ht="15" x14ac:dyDescent="0.25">
      <c r="A5" s="11"/>
      <c r="B5" s="11"/>
      <c r="C5" s="11"/>
      <c r="D5" s="65" t="s">
        <v>10</v>
      </c>
      <c r="E5" s="66"/>
      <c r="F5" s="67" t="s">
        <v>46</v>
      </c>
      <c r="G5" s="68"/>
      <c r="H5" s="68"/>
      <c r="I5" s="68"/>
      <c r="J5" s="68"/>
      <c r="K5" s="68"/>
      <c r="L5" s="68"/>
      <c r="M5" s="68"/>
      <c r="N5" s="69"/>
      <c r="O5" s="13" t="str">
        <f>HYPERLINK("#"&amp;ADDRESS(ROW(),COLUMN()-1),CHAR(128))</f>
        <v>€</v>
      </c>
      <c r="P5" s="11"/>
      <c r="Q5" s="11"/>
      <c r="R5" s="11"/>
      <c r="S5" s="11"/>
      <c r="T5" s="11"/>
    </row>
    <row r="6" spans="1:67" x14ac:dyDescent="0.25">
      <c r="A6" s="11"/>
      <c r="B6" s="11"/>
      <c r="C6" s="11"/>
      <c r="D6" s="11"/>
      <c r="E6" s="11"/>
      <c r="F6" s="11"/>
      <c r="G6" s="11"/>
      <c r="H6" s="11"/>
      <c r="I6" s="11"/>
      <c r="J6" s="11"/>
      <c r="K6" s="11"/>
      <c r="L6" s="11"/>
      <c r="M6" s="11"/>
      <c r="N6" s="11"/>
      <c r="O6" s="11"/>
      <c r="P6" s="11"/>
      <c r="Q6" s="11"/>
      <c r="R6" s="11"/>
      <c r="S6" s="11"/>
      <c r="T6" s="11"/>
    </row>
    <row r="7" spans="1:67" x14ac:dyDescent="0.25">
      <c r="A7" s="11"/>
      <c r="B7" s="11"/>
      <c r="C7" s="11"/>
      <c r="D7" s="11"/>
      <c r="E7" s="11"/>
      <c r="F7" s="11"/>
      <c r="G7" s="11"/>
      <c r="H7" s="11"/>
      <c r="I7" s="11"/>
      <c r="J7" s="11"/>
      <c r="K7" s="11"/>
      <c r="L7" s="11"/>
      <c r="M7" s="11"/>
      <c r="N7" s="11"/>
      <c r="O7" s="11"/>
      <c r="P7" s="11"/>
      <c r="Q7" s="11"/>
      <c r="R7" s="11"/>
      <c r="S7" s="11"/>
      <c r="T7" s="11"/>
    </row>
    <row r="8" spans="1:67" x14ac:dyDescent="0.25">
      <c r="A8" s="11"/>
      <c r="B8" s="11"/>
      <c r="C8" s="11"/>
      <c r="D8" s="11"/>
      <c r="E8" s="11"/>
      <c r="F8" s="11"/>
      <c r="G8" s="11"/>
      <c r="H8" s="11"/>
      <c r="I8" s="11"/>
      <c r="J8" s="11"/>
      <c r="K8" s="11"/>
      <c r="L8" s="11"/>
      <c r="M8" s="11"/>
      <c r="N8" s="11"/>
      <c r="O8" s="11"/>
      <c r="P8" s="11"/>
      <c r="Q8" s="11"/>
      <c r="R8" s="11"/>
      <c r="S8" s="11"/>
      <c r="T8" s="11"/>
    </row>
    <row r="9" spans="1:67" x14ac:dyDescent="0.25">
      <c r="A9" s="11"/>
      <c r="B9" s="11"/>
      <c r="C9" s="11"/>
      <c r="D9" s="11"/>
      <c r="E9" s="11"/>
      <c r="F9" s="11"/>
      <c r="G9" s="11"/>
      <c r="H9" s="11"/>
      <c r="I9" s="11"/>
      <c r="J9" s="11"/>
      <c r="K9" s="11"/>
      <c r="L9" s="11"/>
      <c r="M9" s="11"/>
      <c r="N9" s="11"/>
      <c r="O9" s="11"/>
      <c r="P9" s="11"/>
      <c r="Q9" s="11"/>
      <c r="R9" s="11"/>
      <c r="S9" s="11"/>
      <c r="T9" s="11"/>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row>
    <row r="10" spans="1:67" x14ac:dyDescent="0.25">
      <c r="A10" s="11"/>
      <c r="B10" s="11"/>
      <c r="C10" s="11"/>
      <c r="D10" s="11"/>
      <c r="E10" s="11"/>
      <c r="F10" s="11"/>
      <c r="G10" s="11"/>
      <c r="H10" s="11"/>
      <c r="I10" s="11"/>
      <c r="J10" s="11"/>
      <c r="K10" s="11"/>
      <c r="L10" s="11"/>
      <c r="M10" s="11"/>
      <c r="N10" s="11"/>
      <c r="O10" s="11"/>
      <c r="P10" s="11"/>
      <c r="Q10" s="11"/>
      <c r="R10" s="11"/>
      <c r="S10" s="11"/>
      <c r="T10" s="11"/>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row>
    <row r="11" spans="1:67" x14ac:dyDescent="0.25">
      <c r="A11" s="11"/>
      <c r="B11" s="11"/>
      <c r="C11" s="11"/>
      <c r="D11" s="11"/>
      <c r="E11" s="11"/>
      <c r="F11" s="11"/>
      <c r="G11" s="11"/>
      <c r="H11" s="11"/>
      <c r="I11" s="11"/>
      <c r="J11" s="11"/>
      <c r="K11" s="11"/>
      <c r="L11" s="11"/>
      <c r="M11" s="11"/>
      <c r="N11" s="11"/>
      <c r="O11" s="11"/>
      <c r="P11" s="11"/>
      <c r="Q11" s="11"/>
      <c r="R11" s="11"/>
      <c r="S11" s="11"/>
      <c r="T11" s="11"/>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row>
    <row r="12" spans="1:67" x14ac:dyDescent="0.25">
      <c r="A12" s="11"/>
      <c r="B12" s="11"/>
      <c r="C12" s="11"/>
      <c r="D12" s="11"/>
      <c r="E12" s="11"/>
      <c r="F12" s="11"/>
      <c r="G12" s="11"/>
      <c r="H12" s="11"/>
      <c r="I12" s="11"/>
      <c r="J12" s="11"/>
      <c r="K12" s="11"/>
      <c r="L12" s="11"/>
      <c r="M12" s="11"/>
      <c r="N12" s="11"/>
      <c r="O12" s="11"/>
      <c r="P12" s="11"/>
      <c r="Q12" s="11"/>
      <c r="R12" s="11"/>
      <c r="S12" s="11"/>
      <c r="T12" s="11"/>
      <c r="AM12" s="14"/>
      <c r="AN12" s="14"/>
      <c r="AO12" s="73" t="s">
        <v>7</v>
      </c>
      <c r="AP12" s="73"/>
      <c r="AQ12" s="73"/>
      <c r="AR12" s="73"/>
      <c r="AS12" s="73"/>
      <c r="AT12" s="73"/>
      <c r="AU12" s="73"/>
      <c r="AV12" s="73"/>
      <c r="AW12" s="73"/>
      <c r="AX12" s="73"/>
      <c r="AY12" s="73"/>
      <c r="AZ12" s="73"/>
      <c r="BA12" s="73" t="s">
        <v>8</v>
      </c>
      <c r="BB12" s="73"/>
      <c r="BC12" s="73"/>
      <c r="BD12" s="73"/>
      <c r="BE12" s="73"/>
      <c r="BF12" s="73"/>
      <c r="BG12" s="73"/>
      <c r="BH12" s="73"/>
      <c r="BI12" s="73"/>
      <c r="BJ12" s="73"/>
      <c r="BK12" s="73"/>
      <c r="BL12" s="73"/>
      <c r="BM12" s="14"/>
      <c r="BN12" s="14"/>
      <c r="BO12" s="14"/>
    </row>
    <row r="13" spans="1:67" x14ac:dyDescent="0.25">
      <c r="A13" s="11"/>
      <c r="B13" s="11"/>
      <c r="C13" s="11"/>
      <c r="D13" s="11"/>
      <c r="E13" s="11"/>
      <c r="F13" s="11"/>
      <c r="G13" s="11"/>
      <c r="H13" s="11"/>
      <c r="I13" s="11"/>
      <c r="J13" s="11"/>
      <c r="K13" s="11"/>
      <c r="L13" s="11"/>
      <c r="M13" s="11"/>
      <c r="N13" s="11"/>
      <c r="O13" s="11"/>
      <c r="P13" s="11"/>
      <c r="Q13" s="11"/>
      <c r="R13" s="11"/>
      <c r="S13" s="11"/>
      <c r="T13" s="11"/>
      <c r="AM13" s="14"/>
      <c r="AN13" s="14"/>
      <c r="AO13" s="74" t="s">
        <v>35</v>
      </c>
      <c r="AP13" s="74"/>
      <c r="AQ13" s="74"/>
      <c r="AR13" s="74"/>
      <c r="AS13" s="73" t="s">
        <v>36</v>
      </c>
      <c r="AT13" s="73"/>
      <c r="AU13" s="73"/>
      <c r="AV13" s="73"/>
      <c r="AW13" s="73" t="s">
        <v>5</v>
      </c>
      <c r="AX13" s="73"/>
      <c r="AY13" s="73"/>
      <c r="AZ13" s="73"/>
      <c r="BA13" s="74" t="s">
        <v>35</v>
      </c>
      <c r="BB13" s="74"/>
      <c r="BC13" s="74"/>
      <c r="BD13" s="74"/>
      <c r="BE13" s="73" t="s">
        <v>36</v>
      </c>
      <c r="BF13" s="73"/>
      <c r="BG13" s="73"/>
      <c r="BH13" s="73"/>
      <c r="BI13" s="73" t="s">
        <v>5</v>
      </c>
      <c r="BJ13" s="73"/>
      <c r="BK13" s="73"/>
      <c r="BL13" s="73"/>
      <c r="BM13" s="14"/>
      <c r="BN13" s="14"/>
      <c r="BO13" s="14"/>
    </row>
    <row r="14" spans="1:67" x14ac:dyDescent="0.25">
      <c r="A14" s="11"/>
      <c r="B14" s="11"/>
      <c r="C14" s="11"/>
      <c r="D14" s="11"/>
      <c r="E14" s="11"/>
      <c r="F14" s="11"/>
      <c r="G14" s="11"/>
      <c r="H14" s="11"/>
      <c r="I14" s="11"/>
      <c r="J14" s="11"/>
      <c r="K14" s="11"/>
      <c r="L14" s="11"/>
      <c r="M14" s="11"/>
      <c r="N14" s="11"/>
      <c r="O14" s="11"/>
      <c r="P14" s="11"/>
      <c r="Q14" s="11"/>
      <c r="R14" s="11"/>
      <c r="S14" s="11"/>
      <c r="T14" s="11"/>
      <c r="AM14" s="14"/>
      <c r="AN14" s="14"/>
      <c r="AO14" s="73" t="s">
        <v>4</v>
      </c>
      <c r="AP14" s="73"/>
      <c r="AQ14" s="73" t="s">
        <v>3</v>
      </c>
      <c r="AR14" s="73"/>
      <c r="AS14" s="73" t="s">
        <v>4</v>
      </c>
      <c r="AT14" s="73"/>
      <c r="AU14" s="73" t="s">
        <v>3</v>
      </c>
      <c r="AV14" s="73"/>
      <c r="AW14" s="73" t="s">
        <v>6</v>
      </c>
      <c r="AX14" s="73"/>
      <c r="AY14" s="73" t="s">
        <v>3</v>
      </c>
      <c r="AZ14" s="73"/>
      <c r="BA14" s="73" t="s">
        <v>4</v>
      </c>
      <c r="BB14" s="73"/>
      <c r="BC14" s="73" t="s">
        <v>3</v>
      </c>
      <c r="BD14" s="73"/>
      <c r="BE14" s="73" t="s">
        <v>4</v>
      </c>
      <c r="BF14" s="73"/>
      <c r="BG14" s="73" t="s">
        <v>3</v>
      </c>
      <c r="BH14" s="73"/>
      <c r="BI14" s="73" t="s">
        <v>4</v>
      </c>
      <c r="BJ14" s="73"/>
      <c r="BK14" s="73" t="s">
        <v>3</v>
      </c>
      <c r="BL14" s="73"/>
      <c r="BM14" s="14"/>
      <c r="BN14" s="14"/>
      <c r="BO14" s="14"/>
    </row>
    <row r="15" spans="1:67" x14ac:dyDescent="0.25">
      <c r="A15" s="11"/>
      <c r="B15" s="11"/>
      <c r="C15" s="11"/>
      <c r="D15" s="11"/>
      <c r="E15" s="11"/>
      <c r="F15" s="11"/>
      <c r="G15" s="11"/>
      <c r="H15" s="11"/>
      <c r="I15" s="11"/>
      <c r="J15" s="11"/>
      <c r="K15" s="11"/>
      <c r="L15" s="11"/>
      <c r="M15" s="11"/>
      <c r="N15" s="11"/>
      <c r="O15" s="11"/>
      <c r="P15" s="11"/>
      <c r="Q15" s="11"/>
      <c r="R15" s="11"/>
      <c r="S15" s="11"/>
      <c r="T15" s="11"/>
      <c r="AM15" s="14"/>
      <c r="AN15" s="14" t="s">
        <v>0</v>
      </c>
      <c r="AO15" s="14" t="s">
        <v>1</v>
      </c>
      <c r="AP15" s="14" t="s">
        <v>2</v>
      </c>
      <c r="AQ15" s="14" t="s">
        <v>1</v>
      </c>
      <c r="AR15" s="14" t="s">
        <v>2</v>
      </c>
      <c r="AS15" s="14" t="s">
        <v>1</v>
      </c>
      <c r="AT15" s="14" t="s">
        <v>2</v>
      </c>
      <c r="AU15" s="14" t="s">
        <v>1</v>
      </c>
      <c r="AV15" s="14" t="s">
        <v>2</v>
      </c>
      <c r="AW15" s="14" t="s">
        <v>1</v>
      </c>
      <c r="AX15" s="14" t="s">
        <v>2</v>
      </c>
      <c r="AY15" s="14" t="s">
        <v>1</v>
      </c>
      <c r="AZ15" s="14" t="s">
        <v>2</v>
      </c>
      <c r="BA15" s="14" t="s">
        <v>1</v>
      </c>
      <c r="BB15" s="14" t="s">
        <v>2</v>
      </c>
      <c r="BC15" s="14" t="s">
        <v>1</v>
      </c>
      <c r="BD15" s="14" t="s">
        <v>2</v>
      </c>
      <c r="BE15" s="14" t="s">
        <v>1</v>
      </c>
      <c r="BF15" s="14" t="s">
        <v>2</v>
      </c>
      <c r="BG15" s="14" t="s">
        <v>1</v>
      </c>
      <c r="BH15" s="14" t="s">
        <v>2</v>
      </c>
      <c r="BI15" s="14" t="s">
        <v>1</v>
      </c>
      <c r="BJ15" s="14" t="s">
        <v>2</v>
      </c>
      <c r="BK15" s="14" t="s">
        <v>1</v>
      </c>
      <c r="BL15" s="14" t="s">
        <v>2</v>
      </c>
      <c r="BM15" s="14"/>
      <c r="BN15" s="14"/>
      <c r="BO15" s="14"/>
    </row>
    <row r="16" spans="1:67" x14ac:dyDescent="0.25">
      <c r="A16" s="11"/>
      <c r="B16" s="11"/>
      <c r="C16" s="11"/>
      <c r="D16" s="11"/>
      <c r="E16" s="11"/>
      <c r="F16" s="11"/>
      <c r="G16" s="11"/>
      <c r="H16" s="11"/>
      <c r="I16" s="11"/>
      <c r="J16" s="11"/>
      <c r="K16" s="11"/>
      <c r="L16" s="11"/>
      <c r="M16" s="11"/>
      <c r="N16" s="11"/>
      <c r="O16" s="11"/>
      <c r="P16" s="11"/>
      <c r="Q16" s="11"/>
      <c r="R16" s="11"/>
      <c r="S16" s="11"/>
      <c r="T16" s="11"/>
      <c r="AM16" s="14"/>
      <c r="AN16" s="14">
        <v>2002</v>
      </c>
      <c r="AO16" s="15">
        <v>39.06</v>
      </c>
      <c r="AP16" s="15">
        <f>AVERAGE(58.1,47.97)</f>
        <v>53.034999999999997</v>
      </c>
      <c r="AQ16" s="15">
        <v>1.44</v>
      </c>
      <c r="AR16" s="15">
        <f>AVERAGE(1.16,1.53)</f>
        <v>1.345</v>
      </c>
      <c r="AS16" s="15">
        <v>28.63</v>
      </c>
      <c r="AT16" s="15">
        <f>AVERAGE(42.32,36.72)</f>
        <v>39.519999999999996</v>
      </c>
      <c r="AU16" s="15">
        <v>2.04</v>
      </c>
      <c r="AV16" s="15">
        <f>AVERAGE(1.58,2.34)</f>
        <v>1.96</v>
      </c>
      <c r="AW16" s="15">
        <f>AVERAGE(AO16,AS16)</f>
        <v>33.844999999999999</v>
      </c>
      <c r="AX16" s="15">
        <f>AVERAGE(AP16,AT16)</f>
        <v>46.277499999999996</v>
      </c>
      <c r="AY16" s="15">
        <f t="shared" ref="AY16:AZ26" si="0">AVERAGE(AQ16,AU16)</f>
        <v>1.74</v>
      </c>
      <c r="AZ16" s="15">
        <f t="shared" si="0"/>
        <v>1.6524999999999999</v>
      </c>
      <c r="BA16" s="15">
        <v>43.9</v>
      </c>
      <c r="BB16" s="15">
        <f>AVERAGE(48.31,71.03)</f>
        <v>59.67</v>
      </c>
      <c r="BC16" s="15">
        <v>2.74</v>
      </c>
      <c r="BD16" s="15">
        <f>AVERAGE(2.55,1.05)</f>
        <v>1.7999999999999998</v>
      </c>
      <c r="BE16" s="15">
        <v>22.53</v>
      </c>
      <c r="BF16" s="15">
        <f>AVERAGE(53,28.56)</f>
        <v>40.78</v>
      </c>
      <c r="BG16" s="15">
        <v>4.3600000000000003</v>
      </c>
      <c r="BH16" s="15">
        <f>AVERAGE(1.96,3.93)</f>
        <v>2.9450000000000003</v>
      </c>
      <c r="BI16" s="15">
        <f>AVERAGE(BE16,BA16)</f>
        <v>33.215000000000003</v>
      </c>
      <c r="BJ16" s="15">
        <f>AVERAGE(BF16,BB16)</f>
        <v>50.225000000000001</v>
      </c>
      <c r="BK16" s="15">
        <f>AVERAGE(BG16,BC16)</f>
        <v>3.5500000000000003</v>
      </c>
      <c r="BL16" s="15">
        <f>AVERAGE(BH16,BD16)</f>
        <v>2.3725000000000001</v>
      </c>
      <c r="BM16" s="14"/>
      <c r="BN16" s="14"/>
      <c r="BO16" s="14"/>
    </row>
    <row r="17" spans="1:76" x14ac:dyDescent="0.25">
      <c r="A17" s="11"/>
      <c r="B17" s="11"/>
      <c r="C17" s="11"/>
      <c r="D17" s="11"/>
      <c r="E17" s="11"/>
      <c r="F17" s="11"/>
      <c r="G17" s="11"/>
      <c r="H17" s="11"/>
      <c r="I17" s="11"/>
      <c r="J17" s="11"/>
      <c r="K17" s="11"/>
      <c r="L17" s="11"/>
      <c r="M17" s="11"/>
      <c r="N17" s="11"/>
      <c r="O17" s="11"/>
      <c r="P17" s="11"/>
      <c r="Q17" s="11"/>
      <c r="R17" s="11"/>
      <c r="S17" s="11"/>
      <c r="T17" s="11"/>
      <c r="AM17" s="14"/>
      <c r="AN17" s="14">
        <v>2003</v>
      </c>
      <c r="AO17" s="15">
        <v>37.04</v>
      </c>
      <c r="AP17" s="15">
        <f>AVERAGE(44.69,54.38)</f>
        <v>49.534999999999997</v>
      </c>
      <c r="AQ17" s="15">
        <v>1.89</v>
      </c>
      <c r="AR17" s="15">
        <f>AVERAGE(1.27,1.7)</f>
        <v>1.4849999999999999</v>
      </c>
      <c r="AS17" s="15">
        <v>27.7</v>
      </c>
      <c r="AT17" s="15">
        <f>AVERAGE(29.63,43.06)</f>
        <v>36.344999999999999</v>
      </c>
      <c r="AU17" s="15">
        <v>2.66</v>
      </c>
      <c r="AV17" s="15">
        <f>AVERAGE(1.59,2.51)</f>
        <v>2.0499999999999998</v>
      </c>
      <c r="AW17" s="15">
        <f t="shared" ref="AW17:AX26" si="1">AVERAGE(AO17,AS17)</f>
        <v>32.369999999999997</v>
      </c>
      <c r="AX17" s="15">
        <f>AVERAGE(AP17,AT17)</f>
        <v>42.94</v>
      </c>
      <c r="AY17" s="15">
        <f t="shared" si="0"/>
        <v>2.2749999999999999</v>
      </c>
      <c r="AZ17" s="15">
        <f t="shared" si="0"/>
        <v>1.7674999999999998</v>
      </c>
      <c r="BA17" s="15">
        <v>42.6</v>
      </c>
      <c r="BB17" s="15">
        <f>AVERAGE(42.92,69.68)</f>
        <v>56.300000000000004</v>
      </c>
      <c r="BC17" s="15">
        <v>2.95</v>
      </c>
      <c r="BD17" s="15">
        <f>AVERAGE(1.19,2.8)</f>
        <v>1.9949999999999999</v>
      </c>
      <c r="BE17" s="15">
        <v>23.8</v>
      </c>
      <c r="BF17" s="15">
        <f>AVERAGE(28.47,52.75)</f>
        <v>40.61</v>
      </c>
      <c r="BG17" s="15">
        <v>4.8899999999999997</v>
      </c>
      <c r="BH17" s="15">
        <f>AVERAGE(2.07,4.19)</f>
        <v>3.13</v>
      </c>
      <c r="BI17" s="15">
        <f t="shared" ref="BI17:BL26" si="2">AVERAGE(BE17,BA17)</f>
        <v>33.200000000000003</v>
      </c>
      <c r="BJ17" s="15">
        <f t="shared" si="2"/>
        <v>48.454999999999998</v>
      </c>
      <c r="BK17" s="15">
        <f t="shared" si="2"/>
        <v>3.92</v>
      </c>
      <c r="BL17" s="15">
        <f t="shared" si="2"/>
        <v>2.5625</v>
      </c>
      <c r="BM17" s="14"/>
      <c r="BN17" s="14"/>
      <c r="BO17" s="14"/>
    </row>
    <row r="18" spans="1:76" x14ac:dyDescent="0.25">
      <c r="A18" s="11"/>
      <c r="B18" s="11"/>
      <c r="C18" s="11"/>
      <c r="D18" s="11"/>
      <c r="E18" s="11"/>
      <c r="F18" s="11"/>
      <c r="G18" s="11"/>
      <c r="H18" s="11"/>
      <c r="I18" s="11"/>
      <c r="J18" s="11"/>
      <c r="K18" s="11"/>
      <c r="L18" s="11"/>
      <c r="M18" s="11"/>
      <c r="N18" s="11"/>
      <c r="O18" s="11"/>
      <c r="P18" s="11"/>
      <c r="Q18" s="11"/>
      <c r="R18" s="11"/>
      <c r="S18" s="11"/>
      <c r="T18" s="11"/>
      <c r="AM18" s="14"/>
      <c r="AN18" s="14">
        <v>2004</v>
      </c>
      <c r="AO18" s="15">
        <v>37.78</v>
      </c>
      <c r="AP18" s="15">
        <f>AVERAGE(47.64,54.05)</f>
        <v>50.844999999999999</v>
      </c>
      <c r="AQ18" s="15">
        <v>1.9</v>
      </c>
      <c r="AR18" s="15">
        <f>AVERAGE(1.52,1.14)</f>
        <v>1.33</v>
      </c>
      <c r="AS18" s="15">
        <v>29.11</v>
      </c>
      <c r="AT18" s="15">
        <f>AVERAGE(35.13,43.86)</f>
        <v>39.495000000000005</v>
      </c>
      <c r="AU18" s="15">
        <v>2.71</v>
      </c>
      <c r="AV18" s="15">
        <f>AVERAGE(1.55,2.24)</f>
        <v>1.895</v>
      </c>
      <c r="AW18" s="15">
        <f t="shared" si="1"/>
        <v>33.445</v>
      </c>
      <c r="AX18" s="15">
        <f t="shared" si="1"/>
        <v>45.17</v>
      </c>
      <c r="AY18" s="15">
        <f t="shared" si="0"/>
        <v>2.3049999999999997</v>
      </c>
      <c r="AZ18" s="15">
        <f t="shared" si="0"/>
        <v>1.6125</v>
      </c>
      <c r="BA18" s="15">
        <v>38.08</v>
      </c>
      <c r="BB18" s="15">
        <f>AVERAGE(42.71,67.03)</f>
        <v>54.870000000000005</v>
      </c>
      <c r="BC18" s="15">
        <v>2.94</v>
      </c>
      <c r="BD18" s="15">
        <f>AVERAGE(1.16,2.76)</f>
        <v>1.96</v>
      </c>
      <c r="BE18" s="15">
        <v>24.24</v>
      </c>
      <c r="BF18" s="15">
        <f>AVERAGE(32.52,52.65)</f>
        <v>42.585000000000001</v>
      </c>
      <c r="BG18" s="15">
        <v>4.3899999999999997</v>
      </c>
      <c r="BH18" s="15">
        <f>AVERAGE(1.97,3.97)</f>
        <v>2.97</v>
      </c>
      <c r="BI18" s="15">
        <f t="shared" si="2"/>
        <v>31.159999999999997</v>
      </c>
      <c r="BJ18" s="15">
        <f t="shared" si="2"/>
        <v>48.727500000000006</v>
      </c>
      <c r="BK18" s="15">
        <f t="shared" si="2"/>
        <v>3.665</v>
      </c>
      <c r="BL18" s="15">
        <f t="shared" si="2"/>
        <v>2.4649999999999999</v>
      </c>
      <c r="BM18" s="14"/>
      <c r="BN18" s="14"/>
      <c r="BO18" s="14"/>
    </row>
    <row r="19" spans="1:76" x14ac:dyDescent="0.25">
      <c r="A19" s="11"/>
      <c r="B19" s="11"/>
      <c r="C19" s="11"/>
      <c r="D19" s="11"/>
      <c r="E19" s="11"/>
      <c r="F19" s="11"/>
      <c r="G19" s="11"/>
      <c r="H19" s="11"/>
      <c r="I19" s="11"/>
      <c r="J19" s="11"/>
      <c r="K19" s="11"/>
      <c r="L19" s="11"/>
      <c r="M19" s="11"/>
      <c r="N19" s="11"/>
      <c r="O19" s="11"/>
      <c r="P19" s="11"/>
      <c r="Q19" s="11"/>
      <c r="R19" s="11"/>
      <c r="S19" s="11"/>
      <c r="T19" s="11"/>
      <c r="AM19" s="14"/>
      <c r="AN19" s="14">
        <v>2005</v>
      </c>
      <c r="AO19" s="15">
        <v>37.85</v>
      </c>
      <c r="AP19" s="15">
        <f>AVERAGE(39.5,51.85)</f>
        <v>45.674999999999997</v>
      </c>
      <c r="AQ19" s="15">
        <v>1.99</v>
      </c>
      <c r="AR19" s="15">
        <f>AVERAGE(1.91,1.23)</f>
        <v>1.5699999999999998</v>
      </c>
      <c r="AS19" s="15">
        <v>28.03</v>
      </c>
      <c r="AT19" s="15">
        <f>AVERAGE(33.33,44.08)</f>
        <v>38.704999999999998</v>
      </c>
      <c r="AU19" s="15">
        <v>2.94</v>
      </c>
      <c r="AV19" s="15">
        <f>AVERAGE(2.25,1.61)</f>
        <v>1.9300000000000002</v>
      </c>
      <c r="AW19" s="15">
        <f t="shared" si="1"/>
        <v>32.94</v>
      </c>
      <c r="AX19" s="15">
        <f t="shared" si="1"/>
        <v>42.19</v>
      </c>
      <c r="AY19" s="15">
        <f t="shared" si="0"/>
        <v>2.4649999999999999</v>
      </c>
      <c r="AZ19" s="15">
        <f t="shared" si="0"/>
        <v>1.75</v>
      </c>
      <c r="BA19" s="15">
        <v>37.770000000000003</v>
      </c>
      <c r="BB19" s="15">
        <f>AVERAGE(36.33,44.71)</f>
        <v>40.519999999999996</v>
      </c>
      <c r="BC19" s="15">
        <v>2.89</v>
      </c>
      <c r="BD19" s="15">
        <f>AVERAGE(3.09,1.23)</f>
        <v>2.16</v>
      </c>
      <c r="BE19" s="15">
        <v>23.63</v>
      </c>
      <c r="BF19" s="15">
        <f>AVERAGE(24.69,54.89)</f>
        <v>39.79</v>
      </c>
      <c r="BG19" s="15">
        <v>4.5999999999999996</v>
      </c>
      <c r="BH19" s="15">
        <f>AVERAGE(4.06,1.95)</f>
        <v>3.0049999999999999</v>
      </c>
      <c r="BI19" s="15">
        <f t="shared" si="2"/>
        <v>30.700000000000003</v>
      </c>
      <c r="BJ19" s="15">
        <f t="shared" si="2"/>
        <v>40.155000000000001</v>
      </c>
      <c r="BK19" s="15">
        <f t="shared" si="2"/>
        <v>3.7450000000000001</v>
      </c>
      <c r="BL19" s="15">
        <f t="shared" si="2"/>
        <v>2.5825</v>
      </c>
      <c r="BM19" s="14"/>
      <c r="BN19" s="14"/>
      <c r="BO19" s="14"/>
    </row>
    <row r="20" spans="1:76" x14ac:dyDescent="0.25">
      <c r="A20" s="11"/>
      <c r="B20" s="11"/>
      <c r="C20" s="11"/>
      <c r="D20" s="11"/>
      <c r="E20" s="11"/>
      <c r="F20" s="11"/>
      <c r="G20" s="11"/>
      <c r="H20" s="11"/>
      <c r="I20" s="11"/>
      <c r="J20" s="11"/>
      <c r="K20" s="11"/>
      <c r="L20" s="11"/>
      <c r="M20" s="11"/>
      <c r="N20" s="11"/>
      <c r="O20" s="11"/>
      <c r="P20" s="11"/>
      <c r="Q20" s="11"/>
      <c r="R20" s="11"/>
      <c r="S20" s="11"/>
      <c r="T20" s="11"/>
      <c r="AM20" s="14"/>
      <c r="AN20" s="14">
        <v>2006</v>
      </c>
      <c r="AO20" s="15">
        <v>24.61</v>
      </c>
      <c r="AP20" s="15">
        <f>AVERAGE(43.07,55.37)</f>
        <v>49.22</v>
      </c>
      <c r="AQ20" s="15">
        <v>2.1800000000000002</v>
      </c>
      <c r="AR20" s="15">
        <f>AVERAGE(1.74,1.12)</f>
        <v>1.4300000000000002</v>
      </c>
      <c r="AS20" s="15">
        <v>31.82</v>
      </c>
      <c r="AT20" s="15">
        <f>AVERAGE(33.02,43.78)</f>
        <v>38.400000000000006</v>
      </c>
      <c r="AU20" s="15">
        <v>2.5499999999999998</v>
      </c>
      <c r="AV20" s="15">
        <f>AVERAGE(1.55,2.27)</f>
        <v>1.9100000000000001</v>
      </c>
      <c r="AW20" s="15">
        <f t="shared" si="1"/>
        <v>28.215</v>
      </c>
      <c r="AX20" s="15">
        <f t="shared" si="1"/>
        <v>43.81</v>
      </c>
      <c r="AY20" s="15">
        <f t="shared" si="0"/>
        <v>2.3650000000000002</v>
      </c>
      <c r="AZ20" s="15">
        <f t="shared" si="0"/>
        <v>1.6700000000000002</v>
      </c>
      <c r="BA20" s="15">
        <v>38.29</v>
      </c>
      <c r="BB20" s="15">
        <f>AVERAGE(32.49,67.81)</f>
        <v>50.150000000000006</v>
      </c>
      <c r="BC20" s="15">
        <v>2.97</v>
      </c>
      <c r="BD20" s="15">
        <f>AVERAGE(3.43,1.17)</f>
        <v>2.2999999999999998</v>
      </c>
      <c r="BE20" s="15">
        <v>24.14</v>
      </c>
      <c r="BF20" s="15">
        <f>AVERAGE(56.6,27.54)</f>
        <v>42.07</v>
      </c>
      <c r="BG20" s="15">
        <v>4.5599999999999996</v>
      </c>
      <c r="BH20" s="15">
        <f>AVERAGE(1.8,4.33)</f>
        <v>3.0649999999999999</v>
      </c>
      <c r="BI20" s="15">
        <f t="shared" si="2"/>
        <v>31.215</v>
      </c>
      <c r="BJ20" s="15">
        <f t="shared" si="2"/>
        <v>46.11</v>
      </c>
      <c r="BK20" s="15">
        <f t="shared" si="2"/>
        <v>3.7649999999999997</v>
      </c>
      <c r="BL20" s="15">
        <f t="shared" si="2"/>
        <v>2.6825000000000001</v>
      </c>
      <c r="BM20" s="14"/>
      <c r="BN20" s="14"/>
      <c r="BO20" s="14"/>
    </row>
    <row r="21" spans="1:76" x14ac:dyDescent="0.25">
      <c r="A21" s="11"/>
      <c r="B21" s="11"/>
      <c r="C21" s="11"/>
      <c r="D21" s="11"/>
      <c r="E21" s="11"/>
      <c r="F21" s="11"/>
      <c r="G21" s="11"/>
      <c r="H21" s="11"/>
      <c r="I21" s="11"/>
      <c r="J21" s="11"/>
      <c r="K21" s="11"/>
      <c r="L21" s="11"/>
      <c r="M21" s="11"/>
      <c r="N21" s="11"/>
      <c r="O21" s="11"/>
      <c r="P21" s="11"/>
      <c r="Q21" s="11"/>
      <c r="R21" s="11"/>
      <c r="S21" s="11"/>
      <c r="T21" s="11"/>
      <c r="AM21" s="14"/>
      <c r="AN21" s="14">
        <v>2007</v>
      </c>
      <c r="AO21" s="15">
        <v>32.51</v>
      </c>
      <c r="AP21" s="15">
        <f>AVERAGE(57.01,45.29)</f>
        <v>51.15</v>
      </c>
      <c r="AQ21" s="15">
        <v>2.2200000000000002</v>
      </c>
      <c r="AR21" s="15">
        <f>AVERAGE(1.69,1.05)</f>
        <v>1.37</v>
      </c>
      <c r="AS21" s="15">
        <v>29.07</v>
      </c>
      <c r="AT21" s="15">
        <f>AVERAGE(35.91,45.04)</f>
        <v>40.474999999999994</v>
      </c>
      <c r="AU21" s="15">
        <v>2.65</v>
      </c>
      <c r="AV21" s="15">
        <f>AVERAGE(1.52,2.39)</f>
        <v>1.9550000000000001</v>
      </c>
      <c r="AW21" s="15">
        <f t="shared" si="1"/>
        <v>30.79</v>
      </c>
      <c r="AX21" s="15">
        <f t="shared" si="1"/>
        <v>45.8125</v>
      </c>
      <c r="AY21" s="15">
        <f t="shared" si="0"/>
        <v>2.4350000000000001</v>
      </c>
      <c r="AZ21" s="15">
        <f t="shared" si="0"/>
        <v>1.6625000000000001</v>
      </c>
      <c r="BA21" s="15">
        <v>35.11</v>
      </c>
      <c r="BB21" s="15">
        <f>AVERAGE(29.4,63.85)</f>
        <v>46.625</v>
      </c>
      <c r="BC21" s="15">
        <v>3.05</v>
      </c>
      <c r="BD21" s="15">
        <f>AVERAGE(3.57,1.35)</f>
        <v>2.46</v>
      </c>
      <c r="BE21" s="15">
        <v>22.85</v>
      </c>
      <c r="BF21" s="15">
        <f>AVERAGE(26.37,58.85)</f>
        <v>42.61</v>
      </c>
      <c r="BG21" s="15">
        <v>4.2300000000000004</v>
      </c>
      <c r="BH21" s="15">
        <f>AVERAGE(4.94,1.88)</f>
        <v>3.41</v>
      </c>
      <c r="BI21" s="15">
        <f t="shared" si="2"/>
        <v>28.98</v>
      </c>
      <c r="BJ21" s="15">
        <f t="shared" si="2"/>
        <v>44.6175</v>
      </c>
      <c r="BK21" s="15">
        <f t="shared" si="2"/>
        <v>3.64</v>
      </c>
      <c r="BL21" s="15">
        <f t="shared" si="2"/>
        <v>2.9350000000000001</v>
      </c>
      <c r="BM21" s="14"/>
      <c r="BN21" s="14"/>
      <c r="BO21" s="14"/>
    </row>
    <row r="22" spans="1:76" x14ac:dyDescent="0.25">
      <c r="A22" s="11"/>
      <c r="B22" s="11"/>
      <c r="C22" s="11"/>
      <c r="D22" s="11"/>
      <c r="E22" s="11"/>
      <c r="F22" s="11"/>
      <c r="G22" s="11"/>
      <c r="H22" s="11"/>
      <c r="I22" s="11"/>
      <c r="J22" s="11"/>
      <c r="K22" s="11"/>
      <c r="L22" s="11"/>
      <c r="M22" s="11"/>
      <c r="N22" s="11"/>
      <c r="O22" s="11"/>
      <c r="P22" s="11"/>
      <c r="Q22" s="11"/>
      <c r="R22" s="11"/>
      <c r="S22" s="11"/>
      <c r="T22" s="11"/>
      <c r="AM22" s="14"/>
      <c r="AN22" s="14">
        <v>2008</v>
      </c>
      <c r="AO22" s="15">
        <v>44.18</v>
      </c>
      <c r="AP22" s="15">
        <f>AVERAGE(50.36,60.6)</f>
        <v>55.480000000000004</v>
      </c>
      <c r="AQ22" s="15">
        <v>1.71</v>
      </c>
      <c r="AR22" s="15">
        <f>AVERAGE(1.44,0.97)</f>
        <v>1.2050000000000001</v>
      </c>
      <c r="AS22" s="15">
        <v>30.3</v>
      </c>
      <c r="AT22" s="15">
        <f>AVERAGE(37.5,49.46)</f>
        <v>43.480000000000004</v>
      </c>
      <c r="AU22" s="15">
        <v>2.67</v>
      </c>
      <c r="AV22" s="15">
        <f>AVERAGE(1.41,2.29)</f>
        <v>1.85</v>
      </c>
      <c r="AW22" s="15">
        <f t="shared" si="1"/>
        <v>37.24</v>
      </c>
      <c r="AX22" s="15">
        <f t="shared" si="1"/>
        <v>49.480000000000004</v>
      </c>
      <c r="AY22" s="15">
        <f t="shared" si="0"/>
        <v>2.19</v>
      </c>
      <c r="AZ22" s="15">
        <f t="shared" si="0"/>
        <v>1.5275000000000001</v>
      </c>
      <c r="BA22" s="15">
        <v>40.04</v>
      </c>
      <c r="BB22" s="15">
        <f>AVERAGE(33.63,69.86)</f>
        <v>51.745000000000005</v>
      </c>
      <c r="BC22" s="15">
        <v>2.88</v>
      </c>
      <c r="BD22" s="15">
        <f>AVERAGE(3.19,1.11)</f>
        <v>2.15</v>
      </c>
      <c r="BE22" s="15">
        <v>31.97</v>
      </c>
      <c r="BF22" s="15">
        <f>AVERAGE(28.02,63.47)</f>
        <v>45.744999999999997</v>
      </c>
      <c r="BG22" s="15">
        <v>4.1500000000000004</v>
      </c>
      <c r="BH22" s="15">
        <f>AVERAGE(4.07,1.55)</f>
        <v>2.81</v>
      </c>
      <c r="BI22" s="15">
        <f t="shared" si="2"/>
        <v>36.004999999999995</v>
      </c>
      <c r="BJ22" s="15">
        <f t="shared" si="2"/>
        <v>48.745000000000005</v>
      </c>
      <c r="BK22" s="15">
        <f t="shared" si="2"/>
        <v>3.5150000000000001</v>
      </c>
      <c r="BL22" s="15">
        <f t="shared" si="2"/>
        <v>2.48</v>
      </c>
      <c r="BM22" s="14"/>
      <c r="BN22" s="14"/>
      <c r="BO22" s="14"/>
    </row>
    <row r="23" spans="1:76" x14ac:dyDescent="0.25">
      <c r="A23" s="11"/>
      <c r="B23" s="11"/>
      <c r="C23" s="11"/>
      <c r="D23" s="11"/>
      <c r="E23" s="11"/>
      <c r="F23" s="11"/>
      <c r="G23" s="11"/>
      <c r="H23" s="11"/>
      <c r="I23" s="11"/>
      <c r="J23" s="11"/>
      <c r="K23" s="11"/>
      <c r="L23" s="11"/>
      <c r="M23" s="11"/>
      <c r="N23" s="11"/>
      <c r="O23" s="11"/>
      <c r="P23" s="11"/>
      <c r="Q23" s="11"/>
      <c r="R23" s="11"/>
      <c r="S23" s="11"/>
      <c r="T23" s="11"/>
      <c r="AM23" s="14"/>
      <c r="AN23" s="14">
        <v>2009</v>
      </c>
      <c r="AO23" s="15">
        <v>48.94</v>
      </c>
      <c r="AP23" s="15">
        <f>AVERAGE(45.41,60.84)</f>
        <v>53.125</v>
      </c>
      <c r="AQ23" s="15">
        <v>1.57</v>
      </c>
      <c r="AR23" s="15">
        <f>AVERAGE(1.65,0.94)</f>
        <v>1.2949999999999999</v>
      </c>
      <c r="AS23" s="15">
        <v>33.08</v>
      </c>
      <c r="AT23" s="15">
        <f>AVERAGE(31.62,50.92)</f>
        <v>41.27</v>
      </c>
      <c r="AU23" s="15">
        <v>2.5499999999999998</v>
      </c>
      <c r="AV23" s="15">
        <f>AVERAGE(2.52,1.33)</f>
        <v>1.925</v>
      </c>
      <c r="AW23" s="15">
        <f t="shared" si="1"/>
        <v>41.01</v>
      </c>
      <c r="AX23" s="15">
        <f t="shared" si="1"/>
        <v>47.197500000000005</v>
      </c>
      <c r="AY23" s="15">
        <f t="shared" si="0"/>
        <v>2.06</v>
      </c>
      <c r="AZ23" s="15">
        <f t="shared" si="0"/>
        <v>1.6099999999999999</v>
      </c>
      <c r="BA23" s="15">
        <v>39.54</v>
      </c>
      <c r="BB23" s="15">
        <f>AVERAGE(32.53,67.97)</f>
        <v>50.25</v>
      </c>
      <c r="BC23" s="15">
        <v>3.74</v>
      </c>
      <c r="BD23" s="15">
        <f>AVERAGE(3.47,1.2)</f>
        <v>2.335</v>
      </c>
      <c r="BE23" s="15">
        <v>29.07</v>
      </c>
      <c r="BF23" s="15">
        <f>AVERAGE(27.45,63.33)</f>
        <v>45.39</v>
      </c>
      <c r="BG23" s="15">
        <v>4.0199999999999996</v>
      </c>
      <c r="BH23" s="15">
        <f>AVERAGE(4.29,1.41)</f>
        <v>2.85</v>
      </c>
      <c r="BI23" s="15">
        <f t="shared" si="2"/>
        <v>34.305</v>
      </c>
      <c r="BJ23" s="15">
        <f t="shared" si="2"/>
        <v>47.82</v>
      </c>
      <c r="BK23" s="15">
        <f t="shared" si="2"/>
        <v>3.88</v>
      </c>
      <c r="BL23" s="15">
        <f t="shared" si="2"/>
        <v>2.5925000000000002</v>
      </c>
      <c r="BM23" s="14"/>
      <c r="BN23" s="14"/>
      <c r="BO23" s="14"/>
    </row>
    <row r="24" spans="1:76" x14ac:dyDescent="0.25">
      <c r="A24" s="11"/>
      <c r="B24" s="11"/>
      <c r="C24" s="11"/>
      <c r="D24" s="11"/>
      <c r="E24" s="11"/>
      <c r="F24" s="11"/>
      <c r="G24" s="11"/>
      <c r="H24" s="11"/>
      <c r="I24" s="11"/>
      <c r="J24" s="11"/>
      <c r="K24" s="11"/>
      <c r="L24" s="11"/>
      <c r="M24" s="11"/>
      <c r="N24" s="11"/>
      <c r="O24" s="11"/>
      <c r="P24" s="11"/>
      <c r="Q24" s="11"/>
      <c r="R24" s="11"/>
      <c r="S24" s="11"/>
      <c r="T24" s="11"/>
      <c r="AM24" s="14"/>
      <c r="AN24" s="14">
        <v>2010</v>
      </c>
      <c r="AO24" s="15">
        <v>45.1</v>
      </c>
      <c r="AP24" s="15">
        <f>AVERAGE(43.36,61.34)</f>
        <v>52.35</v>
      </c>
      <c r="AQ24" s="15">
        <v>1.49</v>
      </c>
      <c r="AR24" s="15">
        <f>AVERAGE(1.64,0.89)</f>
        <v>1.2649999999999999</v>
      </c>
      <c r="AS24" s="15">
        <v>34.630000000000003</v>
      </c>
      <c r="AT24" s="15">
        <f>AVERAGE(54.51,38.95)</f>
        <v>46.730000000000004</v>
      </c>
      <c r="AU24" s="15">
        <v>2.33</v>
      </c>
      <c r="AV24" s="15">
        <f>AVERAGE(1.09,1.67)</f>
        <v>1.38</v>
      </c>
      <c r="AW24" s="15">
        <f t="shared" si="1"/>
        <v>39.865000000000002</v>
      </c>
      <c r="AX24" s="15">
        <f t="shared" si="1"/>
        <v>49.540000000000006</v>
      </c>
      <c r="AY24" s="15">
        <f t="shared" si="0"/>
        <v>1.9100000000000001</v>
      </c>
      <c r="AZ24" s="15">
        <f t="shared" si="0"/>
        <v>1.3224999999999998</v>
      </c>
      <c r="BA24" s="15">
        <v>42.41</v>
      </c>
      <c r="BB24" s="15">
        <f>AVERAGE(32.7,70.21)</f>
        <v>51.454999999999998</v>
      </c>
      <c r="BC24" s="15">
        <v>2.62</v>
      </c>
      <c r="BD24" s="15">
        <f>AVERAGE(3.51,1.13)</f>
        <v>2.3199999999999998</v>
      </c>
      <c r="BE24" s="15">
        <v>33.450000000000003</v>
      </c>
      <c r="BF24" s="15">
        <f>AVERAGE(29.03,63.35)</f>
        <v>46.19</v>
      </c>
      <c r="BG24" s="15">
        <v>3.65</v>
      </c>
      <c r="BH24" s="15">
        <f>AVERAGE(1.39,3.77)</f>
        <v>2.58</v>
      </c>
      <c r="BI24" s="15">
        <f t="shared" si="2"/>
        <v>37.93</v>
      </c>
      <c r="BJ24" s="15">
        <f t="shared" si="2"/>
        <v>48.822499999999998</v>
      </c>
      <c r="BK24" s="15">
        <f t="shared" si="2"/>
        <v>3.1349999999999998</v>
      </c>
      <c r="BL24" s="15">
        <f t="shared" si="2"/>
        <v>2.4500000000000002</v>
      </c>
      <c r="BM24" s="14"/>
      <c r="BN24" s="14"/>
      <c r="BO24" s="14"/>
    </row>
    <row r="25" spans="1:76" x14ac:dyDescent="0.25">
      <c r="A25" s="11"/>
      <c r="B25" s="11"/>
      <c r="C25" s="11"/>
      <c r="D25" s="11"/>
      <c r="E25" s="11"/>
      <c r="F25" s="11"/>
      <c r="G25" s="11"/>
      <c r="H25" s="11"/>
      <c r="I25" s="11"/>
      <c r="J25" s="11"/>
      <c r="K25" s="11"/>
      <c r="L25" s="11"/>
      <c r="M25" s="11"/>
      <c r="N25" s="11"/>
      <c r="O25" s="11"/>
      <c r="P25" s="11"/>
      <c r="Q25" s="11"/>
      <c r="R25" s="11"/>
      <c r="S25" s="11"/>
      <c r="T25" s="11"/>
      <c r="AM25" s="14"/>
      <c r="AN25" s="14">
        <v>2011</v>
      </c>
      <c r="AO25" s="15">
        <v>49.76</v>
      </c>
      <c r="AP25" s="15">
        <f>AVERAGE(39.1,61.34)</f>
        <v>50.22</v>
      </c>
      <c r="AQ25" s="15">
        <v>1.32</v>
      </c>
      <c r="AR25" s="15">
        <f>AVERAGE(1.82,0.9)</f>
        <v>1.36</v>
      </c>
      <c r="AS25" s="15">
        <v>41.33</v>
      </c>
      <c r="AT25" s="15">
        <f>AVERAGE(37.44,56.38)</f>
        <v>46.91</v>
      </c>
      <c r="AU25" s="15">
        <v>1.73</v>
      </c>
      <c r="AV25" s="15">
        <f>AVERAGE(2.1,1.12)</f>
        <v>1.61</v>
      </c>
      <c r="AW25" s="15">
        <f t="shared" si="1"/>
        <v>45.545000000000002</v>
      </c>
      <c r="AX25" s="15">
        <f t="shared" si="1"/>
        <v>48.564999999999998</v>
      </c>
      <c r="AY25" s="15">
        <f t="shared" si="0"/>
        <v>1.5249999999999999</v>
      </c>
      <c r="AZ25" s="15">
        <f t="shared" si="0"/>
        <v>1.4850000000000001</v>
      </c>
      <c r="BA25" s="15">
        <v>42.6</v>
      </c>
      <c r="BB25" s="15">
        <f>AVERAGE(35.53,71.39)</f>
        <v>53.46</v>
      </c>
      <c r="BC25" s="15">
        <v>2.66</v>
      </c>
      <c r="BD25" s="15">
        <f>AVERAGE(3.39,1.09)</f>
        <v>2.2400000000000002</v>
      </c>
      <c r="BE25" s="15">
        <v>39.299999999999997</v>
      </c>
      <c r="BF25" s="15">
        <f>AVERAGE(33.41,66.26)</f>
        <v>49.835000000000001</v>
      </c>
      <c r="BG25" s="15">
        <v>3.47</v>
      </c>
      <c r="BH25" s="15">
        <f>AVERAGE(3.65,1.34)</f>
        <v>2.4950000000000001</v>
      </c>
      <c r="BI25" s="15">
        <f t="shared" si="2"/>
        <v>40.950000000000003</v>
      </c>
      <c r="BJ25" s="15">
        <f t="shared" si="2"/>
        <v>51.647500000000001</v>
      </c>
      <c r="BK25" s="15">
        <f t="shared" si="2"/>
        <v>3.0650000000000004</v>
      </c>
      <c r="BL25" s="15">
        <f t="shared" si="2"/>
        <v>2.3675000000000002</v>
      </c>
      <c r="BM25" s="14"/>
      <c r="BN25" s="14"/>
      <c r="BO25" s="14"/>
    </row>
    <row r="26" spans="1:76" x14ac:dyDescent="0.25">
      <c r="A26" s="11"/>
      <c r="B26" s="11"/>
      <c r="C26" s="11"/>
      <c r="D26" s="11"/>
      <c r="E26" s="11"/>
      <c r="F26" s="11"/>
      <c r="G26" s="11"/>
      <c r="H26" s="11"/>
      <c r="I26" s="11"/>
      <c r="J26" s="11"/>
      <c r="K26" s="11"/>
      <c r="L26" s="11"/>
      <c r="M26" s="11"/>
      <c r="N26" s="11"/>
      <c r="O26" s="11"/>
      <c r="P26" s="11"/>
      <c r="Q26" s="11"/>
      <c r="R26" s="11"/>
      <c r="S26" s="11"/>
      <c r="T26" s="11"/>
      <c r="AM26" s="14"/>
      <c r="AN26" s="14">
        <v>2012</v>
      </c>
      <c r="AO26" s="15">
        <v>47.41</v>
      </c>
      <c r="AP26" s="15">
        <f>AVERAGE(45.16,62.99)</f>
        <v>54.075000000000003</v>
      </c>
      <c r="AQ26" s="15">
        <v>1.53</v>
      </c>
      <c r="AR26" s="15">
        <f>AVERAGE(1.67,0.84)</f>
        <v>1.2549999999999999</v>
      </c>
      <c r="AS26" s="15">
        <v>40.14</v>
      </c>
      <c r="AT26" s="15">
        <f>AVERAGE(45.16,58.87)</f>
        <v>52.015000000000001</v>
      </c>
      <c r="AU26" s="15">
        <v>1.96</v>
      </c>
      <c r="AV26" s="15">
        <f>AVERAGE(1.79,1.05)</f>
        <v>1.42</v>
      </c>
      <c r="AW26" s="15">
        <f t="shared" si="1"/>
        <v>43.774999999999999</v>
      </c>
      <c r="AX26" s="15">
        <f t="shared" si="1"/>
        <v>53.045000000000002</v>
      </c>
      <c r="AY26" s="15">
        <f t="shared" si="0"/>
        <v>1.7450000000000001</v>
      </c>
      <c r="AZ26" s="15">
        <f t="shared" si="0"/>
        <v>1.3374999999999999</v>
      </c>
      <c r="BA26" s="15">
        <v>44.2</v>
      </c>
      <c r="BB26" s="15">
        <f>AVERAGE(36.68,71.92)</f>
        <v>54.3</v>
      </c>
      <c r="BC26" s="15">
        <v>2.57</v>
      </c>
      <c r="BD26" s="15">
        <f>AVERAGE(3.19,1.04)</f>
        <v>2.1150000000000002</v>
      </c>
      <c r="BE26" s="15">
        <v>33.14</v>
      </c>
      <c r="BF26" s="15">
        <f>AVERAGE(38.88,64.96)</f>
        <v>51.92</v>
      </c>
      <c r="BG26" s="15">
        <v>3.72</v>
      </c>
      <c r="BH26" s="15">
        <f>AVERAGE(3.09,1.46)</f>
        <v>2.2749999999999999</v>
      </c>
      <c r="BI26" s="15">
        <f t="shared" si="2"/>
        <v>38.67</v>
      </c>
      <c r="BJ26" s="15">
        <f t="shared" si="2"/>
        <v>53.11</v>
      </c>
      <c r="BK26" s="15">
        <f t="shared" si="2"/>
        <v>3.145</v>
      </c>
      <c r="BL26" s="15">
        <f t="shared" si="2"/>
        <v>2.1950000000000003</v>
      </c>
      <c r="BM26" s="14"/>
      <c r="BN26" s="14"/>
      <c r="BO26" s="14"/>
    </row>
    <row r="27" spans="1:76" x14ac:dyDescent="0.25">
      <c r="A27" s="11"/>
      <c r="B27" s="11"/>
      <c r="C27" s="11"/>
      <c r="D27" s="11"/>
      <c r="E27" s="11"/>
      <c r="F27" s="11"/>
      <c r="G27" s="11"/>
      <c r="H27" s="11"/>
      <c r="I27" s="11"/>
      <c r="J27" s="11"/>
      <c r="K27" s="11"/>
      <c r="L27" s="11"/>
      <c r="M27" s="11"/>
      <c r="N27" s="11"/>
      <c r="O27" s="11"/>
      <c r="P27" s="11"/>
      <c r="Q27" s="11"/>
      <c r="R27" s="11"/>
      <c r="S27" s="11"/>
      <c r="T27" s="11"/>
      <c r="AM27" s="14"/>
      <c r="AN27" s="14">
        <v>2013</v>
      </c>
      <c r="AO27" s="15">
        <v>47.02</v>
      </c>
      <c r="AP27" s="15">
        <v>51.244999999999997</v>
      </c>
      <c r="AQ27" s="15">
        <v>1.35</v>
      </c>
      <c r="AR27" s="15">
        <v>1.2050000000000001</v>
      </c>
      <c r="AS27" s="15">
        <v>38.82</v>
      </c>
      <c r="AT27" s="15">
        <v>48.344999999999999</v>
      </c>
      <c r="AU27" s="15">
        <v>2.02</v>
      </c>
      <c r="AV27" s="15">
        <v>1.4100000000000001</v>
      </c>
      <c r="AW27" s="15">
        <v>42.92</v>
      </c>
      <c r="AX27" s="15">
        <v>49.795000000000002</v>
      </c>
      <c r="AY27" s="15">
        <v>1.6850000000000001</v>
      </c>
      <c r="AZ27" s="15">
        <v>1.3075000000000001</v>
      </c>
      <c r="BA27" s="15">
        <v>42.5</v>
      </c>
      <c r="BB27" s="15">
        <v>53.92</v>
      </c>
      <c r="BC27" s="15">
        <v>2.5099999999999998</v>
      </c>
      <c r="BD27" s="15">
        <v>2.1150000000000002</v>
      </c>
      <c r="BE27" s="15">
        <v>32.32</v>
      </c>
      <c r="BF27" s="15">
        <v>46.36</v>
      </c>
      <c r="BG27" s="15">
        <v>3.72</v>
      </c>
      <c r="BH27" s="15">
        <v>2.6749999999999998</v>
      </c>
      <c r="BI27" s="15">
        <v>37.409999999999997</v>
      </c>
      <c r="BJ27" s="15">
        <v>50.14</v>
      </c>
      <c r="BK27" s="15">
        <v>3.1150000000000002</v>
      </c>
      <c r="BL27" s="15">
        <v>2.395</v>
      </c>
      <c r="BM27" s="14"/>
      <c r="BN27" s="14"/>
      <c r="BO27" s="14"/>
      <c r="BX27" s="12"/>
    </row>
    <row r="28" spans="1:76" x14ac:dyDescent="0.25">
      <c r="A28" s="11"/>
      <c r="B28" s="11"/>
      <c r="C28" s="11"/>
      <c r="D28" s="11"/>
      <c r="E28" s="11"/>
      <c r="F28" s="11"/>
      <c r="G28" s="11"/>
      <c r="H28" s="11"/>
      <c r="I28" s="11"/>
      <c r="J28" s="11"/>
      <c r="K28" s="11"/>
      <c r="L28" s="11"/>
      <c r="M28" s="11"/>
      <c r="N28" s="11"/>
      <c r="O28" s="11"/>
      <c r="P28" s="11"/>
      <c r="Q28" s="11"/>
      <c r="R28" s="11"/>
      <c r="S28" s="11"/>
      <c r="T28" s="11"/>
      <c r="AM28" s="14"/>
      <c r="AN28" s="14">
        <v>2014</v>
      </c>
      <c r="AO28" s="15">
        <v>51.04</v>
      </c>
      <c r="AP28" s="15">
        <v>55.160000000000004</v>
      </c>
      <c r="AQ28" s="15">
        <v>1.25</v>
      </c>
      <c r="AR28" s="15">
        <v>1.105</v>
      </c>
      <c r="AS28" s="15">
        <v>44.74</v>
      </c>
      <c r="AT28" s="15">
        <v>50.784999999999997</v>
      </c>
      <c r="AU28" s="15">
        <v>2.0699999999999998</v>
      </c>
      <c r="AV28" s="15">
        <v>1.385</v>
      </c>
      <c r="AW28" s="15">
        <v>47.89</v>
      </c>
      <c r="AX28" s="15">
        <v>52.972499999999997</v>
      </c>
      <c r="AY28" s="15">
        <v>1.66</v>
      </c>
      <c r="AZ28" s="15">
        <v>1.2450000000000001</v>
      </c>
      <c r="BA28" s="15">
        <v>45.21</v>
      </c>
      <c r="BB28" s="15">
        <v>53.42</v>
      </c>
      <c r="BC28" s="15">
        <v>2.44</v>
      </c>
      <c r="BD28" s="15">
        <v>2.16</v>
      </c>
      <c r="BE28" s="15">
        <v>34.880000000000003</v>
      </c>
      <c r="BF28" s="15">
        <v>49.445</v>
      </c>
      <c r="BG28" s="15">
        <v>3.44</v>
      </c>
      <c r="BH28" s="15">
        <v>2.5300000000000002</v>
      </c>
      <c r="BI28" s="15">
        <v>40.045000000000002</v>
      </c>
      <c r="BJ28" s="15">
        <v>51.432500000000005</v>
      </c>
      <c r="BK28" s="15">
        <v>2.94</v>
      </c>
      <c r="BL28" s="15">
        <v>2.3450000000000002</v>
      </c>
      <c r="BM28" s="14"/>
      <c r="BN28" s="14"/>
      <c r="BO28" s="14"/>
      <c r="BX28" s="12"/>
    </row>
    <row r="29" spans="1:76" x14ac:dyDescent="0.25">
      <c r="A29" s="11"/>
      <c r="B29" s="11"/>
      <c r="C29" s="11"/>
      <c r="D29" s="11"/>
      <c r="E29" s="11"/>
      <c r="F29" s="11"/>
      <c r="G29" s="11"/>
      <c r="H29" s="11"/>
      <c r="I29" s="11"/>
      <c r="J29" s="11"/>
      <c r="K29" s="11"/>
      <c r="L29" s="11"/>
      <c r="M29" s="11"/>
      <c r="N29" s="11"/>
      <c r="O29" s="11"/>
      <c r="P29" s="11"/>
      <c r="Q29" s="11"/>
      <c r="R29" s="11"/>
      <c r="S29" s="11"/>
      <c r="T29" s="11"/>
      <c r="AM29" s="14"/>
      <c r="AN29" s="14">
        <v>2015</v>
      </c>
      <c r="AO29" s="15">
        <v>52.57</v>
      </c>
      <c r="AP29" s="15">
        <v>57.254999999999995</v>
      </c>
      <c r="AQ29" s="15">
        <v>1.1399999999999999</v>
      </c>
      <c r="AR29" s="15">
        <v>1.0149999999999999</v>
      </c>
      <c r="AS29" s="15">
        <v>46.59</v>
      </c>
      <c r="AT29" s="15">
        <v>56.465000000000003</v>
      </c>
      <c r="AU29" s="15">
        <v>1.53</v>
      </c>
      <c r="AV29" s="15">
        <v>1.0999999999999999</v>
      </c>
      <c r="AW29" s="15">
        <v>49.58</v>
      </c>
      <c r="AX29" s="15">
        <v>56.86</v>
      </c>
      <c r="AY29" s="15">
        <v>1.335</v>
      </c>
      <c r="AZ29" s="15">
        <v>1.0574999999999999</v>
      </c>
      <c r="BA29" s="15">
        <v>43.98</v>
      </c>
      <c r="BB29" s="15">
        <v>51.33</v>
      </c>
      <c r="BC29" s="15">
        <v>2.4500000000000002</v>
      </c>
      <c r="BD29" s="15">
        <v>2.37</v>
      </c>
      <c r="BE29" s="15">
        <v>34.96</v>
      </c>
      <c r="BF29" s="15">
        <v>50.594999999999999</v>
      </c>
      <c r="BG29" s="15">
        <v>3.35</v>
      </c>
      <c r="BH29" s="15">
        <v>2.4300000000000002</v>
      </c>
      <c r="BI29" s="15">
        <v>39.47</v>
      </c>
      <c r="BJ29" s="15">
        <v>50.962499999999999</v>
      </c>
      <c r="BK29" s="15">
        <v>2.9000000000000004</v>
      </c>
      <c r="BL29" s="15">
        <v>2.4000000000000004</v>
      </c>
      <c r="BM29" s="14"/>
      <c r="BN29" s="14"/>
      <c r="BO29" s="14"/>
      <c r="BX29" s="12"/>
    </row>
    <row r="30" spans="1:76" x14ac:dyDescent="0.25">
      <c r="A30" s="11"/>
      <c r="B30" s="11"/>
      <c r="C30" s="11"/>
      <c r="D30" s="11"/>
      <c r="E30" s="11"/>
      <c r="F30" s="11"/>
      <c r="G30" s="11"/>
      <c r="H30" s="11"/>
      <c r="I30" s="11"/>
      <c r="J30" s="11"/>
      <c r="K30" s="11"/>
      <c r="L30" s="11"/>
      <c r="M30" s="11"/>
      <c r="N30" s="11"/>
      <c r="O30" s="11"/>
      <c r="P30" s="11"/>
      <c r="Q30" s="11"/>
      <c r="R30" s="11"/>
      <c r="S30" s="11"/>
      <c r="T30" s="11"/>
      <c r="AM30" s="14"/>
      <c r="AN30" s="14">
        <v>2016</v>
      </c>
      <c r="AO30" s="15">
        <v>55.48</v>
      </c>
      <c r="AP30" s="15">
        <v>60.2</v>
      </c>
      <c r="AQ30" s="15">
        <v>1.1100000000000001</v>
      </c>
      <c r="AR30" s="15">
        <v>0.93500000000000005</v>
      </c>
      <c r="AS30" s="15">
        <v>48.67</v>
      </c>
      <c r="AT30" s="15">
        <v>55.084999999999994</v>
      </c>
      <c r="AU30" s="15">
        <v>1.58</v>
      </c>
      <c r="AV30" s="15">
        <v>1.1800000000000002</v>
      </c>
      <c r="AW30" s="15">
        <v>52.075000000000003</v>
      </c>
      <c r="AX30" s="15">
        <v>57.642499999999998</v>
      </c>
      <c r="AY30" s="15">
        <v>1.3450000000000002</v>
      </c>
      <c r="AZ30" s="15">
        <v>1.0575000000000001</v>
      </c>
      <c r="BA30" s="15">
        <v>44.1</v>
      </c>
      <c r="BB30" s="15">
        <v>52.655000000000001</v>
      </c>
      <c r="BC30" s="15">
        <v>2.5299999999999998</v>
      </c>
      <c r="BD30" s="15">
        <v>2.2850000000000001</v>
      </c>
      <c r="BE30" s="15">
        <v>38.6</v>
      </c>
      <c r="BF30" s="15">
        <v>50.42</v>
      </c>
      <c r="BG30" s="15">
        <v>3.28</v>
      </c>
      <c r="BH30" s="15">
        <v>2.4550000000000001</v>
      </c>
      <c r="BI30" s="15">
        <v>41.35</v>
      </c>
      <c r="BJ30" s="15">
        <v>51.537500000000001</v>
      </c>
      <c r="BK30" s="15">
        <v>2.9049999999999998</v>
      </c>
      <c r="BL30" s="15">
        <v>2.37</v>
      </c>
      <c r="BM30" s="14"/>
      <c r="BN30" s="14"/>
      <c r="BO30" s="14"/>
      <c r="BX30" s="12"/>
    </row>
    <row r="31" spans="1:76" x14ac:dyDescent="0.25">
      <c r="A31" s="11"/>
      <c r="B31" s="11"/>
      <c r="C31" s="11"/>
      <c r="D31" s="11"/>
      <c r="E31" s="11"/>
      <c r="F31" s="11"/>
      <c r="G31" s="11"/>
      <c r="H31" s="11"/>
      <c r="I31" s="11"/>
      <c r="J31" s="11"/>
      <c r="K31" s="11"/>
      <c r="L31" s="11"/>
      <c r="M31" s="11"/>
      <c r="N31" s="11"/>
      <c r="O31" s="11"/>
      <c r="P31" s="11"/>
      <c r="Q31" s="11"/>
      <c r="R31" s="11"/>
      <c r="S31" s="11"/>
      <c r="T31" s="11"/>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row>
    <row r="32" spans="1:76" x14ac:dyDescent="0.25">
      <c r="A32" s="11"/>
      <c r="B32" s="11"/>
      <c r="C32" s="11"/>
      <c r="D32" s="11"/>
      <c r="E32" s="11"/>
      <c r="F32" s="11"/>
      <c r="G32" s="11"/>
      <c r="H32" s="11"/>
      <c r="I32" s="11"/>
      <c r="J32" s="11"/>
      <c r="K32" s="11"/>
      <c r="L32" s="11"/>
      <c r="M32" s="11"/>
      <c r="N32" s="11"/>
      <c r="O32" s="11"/>
      <c r="P32" s="11"/>
      <c r="Q32" s="11"/>
      <c r="R32" s="11"/>
      <c r="S32" s="11"/>
      <c r="T32" s="11"/>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row>
    <row r="33" spans="1:77" x14ac:dyDescent="0.25">
      <c r="A33" s="11"/>
      <c r="B33" s="11"/>
      <c r="C33" s="11"/>
      <c r="D33" s="11"/>
      <c r="E33" s="11"/>
      <c r="F33" s="11"/>
      <c r="G33" s="11"/>
      <c r="H33" s="11"/>
      <c r="I33" s="11"/>
      <c r="J33" s="11"/>
      <c r="K33" s="11"/>
      <c r="L33" s="11"/>
      <c r="M33" s="11"/>
      <c r="N33" s="11"/>
      <c r="O33" s="11"/>
      <c r="P33" s="11"/>
      <c r="Q33" s="11"/>
      <c r="R33" s="11"/>
      <c r="S33" s="11"/>
      <c r="T33" s="11"/>
      <c r="AM33" s="14" t="str">
        <f>IF(F5= ref!B2, "Fluoridated and non-Fluoridated mean dmft at 5 Years of Age", IF(F5 = ref!B3, "Fluoridated and non-Fluoridated mean DMFT in Year 8", "Fluoridated and non-Fluoridated for " &amp;F5))</f>
        <v>Fluoridated and non-Fluoridated mean dmft at 5 Years of Age</v>
      </c>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row>
    <row r="34" spans="1:77" x14ac:dyDescent="0.25">
      <c r="A34" s="11"/>
      <c r="B34" s="11"/>
      <c r="C34" s="11"/>
      <c r="D34" s="11"/>
      <c r="E34" s="11"/>
      <c r="F34" s="11"/>
      <c r="G34" s="11"/>
      <c r="H34" s="11"/>
      <c r="I34" s="11"/>
      <c r="J34" s="11"/>
      <c r="K34" s="11"/>
      <c r="L34" s="11"/>
      <c r="M34" s="11"/>
      <c r="N34" s="11"/>
      <c r="O34" s="11"/>
      <c r="P34" s="11"/>
      <c r="Q34" s="11"/>
      <c r="R34" s="11"/>
      <c r="S34" s="11"/>
      <c r="T34" s="11"/>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Y34" s="7"/>
    </row>
    <row r="35" spans="1:77" ht="15.6" x14ac:dyDescent="0.3">
      <c r="A35" s="16"/>
      <c r="B35" s="16"/>
      <c r="C35" s="17" t="str">
        <f>IF(F5=ref!B2, "Mean dmft at 5 Years of Age, Fluoridated", IF(F5 = ref!B3, "Mean DMFT in Year 8, Fluoridated", F5&amp; ", Fluoridated"))</f>
        <v>Mean dmft at 5 Years of Age, Fluoridated</v>
      </c>
      <c r="D35" s="16"/>
      <c r="E35" s="16"/>
      <c r="F35" s="16"/>
      <c r="G35" s="16"/>
      <c r="H35" s="16"/>
      <c r="I35" s="16"/>
      <c r="J35" s="16"/>
      <c r="K35" s="16"/>
      <c r="L35" s="17" t="str">
        <f>IF(F5=ref!B2, "Mean dmft at 5 Years of Age, non-Fluoridated", IF(F5= ref!B3, "Mean DMFT in Year 8, non-Fluoridated", F5 &amp; ", non-Fluoridated"))</f>
        <v>Mean dmft at 5 Years of Age, non-Fluoridated</v>
      </c>
      <c r="M35" s="11"/>
      <c r="N35" s="11"/>
      <c r="O35" s="11"/>
      <c r="P35" s="11"/>
      <c r="Q35" s="11"/>
      <c r="R35" s="11"/>
      <c r="S35" s="11"/>
      <c r="T35" s="11"/>
      <c r="AM35" s="14"/>
      <c r="AN35" s="14" t="s">
        <v>0</v>
      </c>
      <c r="AO35" s="14" t="s">
        <v>1</v>
      </c>
      <c r="AP35" s="14" t="s">
        <v>2</v>
      </c>
      <c r="AQ35" s="14"/>
      <c r="AR35" s="14"/>
      <c r="AS35" s="14"/>
      <c r="AT35" s="14"/>
      <c r="AU35" s="14"/>
      <c r="AV35" s="14"/>
      <c r="AW35" s="14"/>
      <c r="AX35" s="14"/>
      <c r="AY35" s="18"/>
      <c r="AZ35" s="18"/>
      <c r="BA35" s="75"/>
      <c r="BB35" s="75"/>
      <c r="BC35" s="75"/>
      <c r="BD35" s="75"/>
      <c r="BE35" s="75"/>
      <c r="BF35" s="75"/>
      <c r="BG35" s="75"/>
      <c r="BH35" s="75"/>
      <c r="BI35" s="75"/>
      <c r="BJ35" s="75"/>
      <c r="BK35" s="75"/>
      <c r="BL35" s="75"/>
      <c r="BM35" s="14"/>
      <c r="BN35" s="14"/>
      <c r="BO35" s="14"/>
    </row>
    <row r="36" spans="1:77" x14ac:dyDescent="0.25">
      <c r="A36" s="11"/>
      <c r="B36" s="11"/>
      <c r="C36" s="19"/>
      <c r="D36" s="11"/>
      <c r="E36" s="11"/>
      <c r="F36" s="11"/>
      <c r="G36" s="11"/>
      <c r="H36" s="11"/>
      <c r="I36" s="11"/>
      <c r="J36" s="11"/>
      <c r="K36" s="11"/>
      <c r="L36" s="11"/>
      <c r="M36" s="11"/>
      <c r="N36" s="11"/>
      <c r="O36" s="11"/>
      <c r="P36" s="11"/>
      <c r="Q36" s="11"/>
      <c r="R36" s="11"/>
      <c r="S36" s="11"/>
      <c r="T36" s="11"/>
      <c r="AM36" s="76" t="s">
        <v>35</v>
      </c>
      <c r="AN36" s="14">
        <v>2002</v>
      </c>
      <c r="AO36" s="15">
        <f t="shared" ref="AO36:AO50" si="3">D40</f>
        <v>2.74</v>
      </c>
      <c r="AP36" s="15">
        <f t="shared" ref="AP36:AP50" si="4">E40</f>
        <v>1.7999999999999998</v>
      </c>
      <c r="AQ36" s="14"/>
      <c r="AR36" s="14"/>
      <c r="AS36" s="14"/>
      <c r="AT36" s="14"/>
      <c r="AU36" s="14"/>
      <c r="AV36" s="14"/>
      <c r="AW36" s="14"/>
      <c r="AX36" s="14"/>
      <c r="AY36" s="18"/>
      <c r="AZ36" s="18"/>
      <c r="BA36" s="75"/>
      <c r="BB36" s="75"/>
      <c r="BC36" s="75"/>
      <c r="BD36" s="75"/>
      <c r="BE36" s="75"/>
      <c r="BF36" s="75"/>
      <c r="BG36" s="75"/>
      <c r="BH36" s="75"/>
      <c r="BI36" s="75"/>
      <c r="BJ36" s="75"/>
      <c r="BK36" s="75"/>
      <c r="BL36" s="75"/>
      <c r="BM36" s="14"/>
      <c r="BN36" s="14"/>
      <c r="BO36" s="14"/>
    </row>
    <row r="37" spans="1:77" x14ac:dyDescent="0.25">
      <c r="A37" s="11"/>
      <c r="B37" s="11"/>
      <c r="C37" s="70" t="s">
        <v>35</v>
      </c>
      <c r="D37" s="70"/>
      <c r="E37" s="70"/>
      <c r="F37" s="11"/>
      <c r="G37" s="11"/>
      <c r="H37" s="11"/>
      <c r="I37" s="11"/>
      <c r="J37" s="11"/>
      <c r="K37" s="11"/>
      <c r="L37" s="70" t="s">
        <v>34</v>
      </c>
      <c r="M37" s="70"/>
      <c r="N37" s="70"/>
      <c r="O37" s="11"/>
      <c r="P37" s="11"/>
      <c r="Q37" s="11"/>
      <c r="R37" s="11"/>
      <c r="S37" s="11"/>
      <c r="T37" s="11"/>
      <c r="AM37" s="76"/>
      <c r="AN37" s="14">
        <v>2003</v>
      </c>
      <c r="AO37" s="15">
        <f t="shared" si="3"/>
        <v>2.95</v>
      </c>
      <c r="AP37" s="15">
        <f t="shared" si="4"/>
        <v>1.9949999999999999</v>
      </c>
      <c r="AQ37" s="18"/>
      <c r="AR37" s="18"/>
      <c r="AS37" s="18"/>
      <c r="AT37" s="18"/>
      <c r="AU37" s="18"/>
      <c r="AV37" s="18"/>
      <c r="AW37" s="18"/>
      <c r="AX37" s="18"/>
      <c r="AY37" s="18"/>
      <c r="AZ37" s="18"/>
      <c r="BA37" s="75"/>
      <c r="BB37" s="75"/>
      <c r="BC37" s="75"/>
      <c r="BD37" s="75"/>
      <c r="BE37" s="75"/>
      <c r="BF37" s="75"/>
      <c r="BG37" s="75"/>
      <c r="BH37" s="75"/>
      <c r="BI37" s="75"/>
      <c r="BJ37" s="75"/>
      <c r="BK37" s="75"/>
      <c r="BL37" s="75"/>
      <c r="BM37" s="14"/>
      <c r="BN37" s="14"/>
      <c r="BO37" s="14"/>
    </row>
    <row r="38" spans="1:77" x14ac:dyDescent="0.25">
      <c r="A38" s="11"/>
      <c r="B38" s="11"/>
      <c r="C38" s="20"/>
      <c r="D38" s="20"/>
      <c r="E38" s="20"/>
      <c r="F38" s="11"/>
      <c r="G38" s="11"/>
      <c r="H38" s="11"/>
      <c r="I38" s="11"/>
      <c r="J38" s="11"/>
      <c r="K38" s="11"/>
      <c r="L38" s="20"/>
      <c r="M38" s="20"/>
      <c r="N38" s="20"/>
      <c r="O38" s="11"/>
      <c r="P38" s="11"/>
      <c r="Q38" s="11"/>
      <c r="R38" s="11"/>
      <c r="S38" s="11"/>
      <c r="T38" s="11"/>
      <c r="AM38" s="76"/>
      <c r="AN38" s="14">
        <v>2004</v>
      </c>
      <c r="AO38" s="15">
        <f t="shared" si="3"/>
        <v>2.94</v>
      </c>
      <c r="AP38" s="15">
        <f t="shared" si="4"/>
        <v>1.96</v>
      </c>
      <c r="AQ38" s="18"/>
      <c r="AR38" s="18"/>
      <c r="AS38" s="18"/>
      <c r="AT38" s="18"/>
      <c r="AU38" s="18"/>
      <c r="AV38" s="18"/>
      <c r="AW38" s="18"/>
      <c r="AX38" s="18"/>
      <c r="AY38" s="14"/>
      <c r="AZ38" s="14"/>
      <c r="BA38" s="14"/>
      <c r="BB38" s="14"/>
      <c r="BC38" s="14"/>
      <c r="BD38" s="14"/>
      <c r="BE38" s="14"/>
      <c r="BF38" s="14"/>
      <c r="BG38" s="14"/>
      <c r="BH38" s="14"/>
      <c r="BI38" s="14"/>
      <c r="BJ38" s="14"/>
      <c r="BK38" s="14"/>
      <c r="BL38" s="14"/>
      <c r="BM38" s="14"/>
      <c r="BN38" s="14"/>
      <c r="BO38" s="14"/>
    </row>
    <row r="39" spans="1:77" x14ac:dyDescent="0.25">
      <c r="A39" s="11"/>
      <c r="B39" s="11"/>
      <c r="C39" s="21" t="s">
        <v>0</v>
      </c>
      <c r="D39" s="19" t="s">
        <v>1</v>
      </c>
      <c r="E39" s="19" t="s">
        <v>2</v>
      </c>
      <c r="F39" s="11" t="s">
        <v>32</v>
      </c>
      <c r="G39" s="22"/>
      <c r="H39" s="11"/>
      <c r="I39" s="11"/>
      <c r="J39" s="11"/>
      <c r="K39" s="11"/>
      <c r="L39" s="21" t="s">
        <v>0</v>
      </c>
      <c r="M39" s="19" t="s">
        <v>1</v>
      </c>
      <c r="N39" s="19" t="s">
        <v>2</v>
      </c>
      <c r="O39" s="11" t="s">
        <v>32</v>
      </c>
      <c r="P39" s="22"/>
      <c r="Q39" s="11"/>
      <c r="R39" s="11"/>
      <c r="S39" s="11"/>
      <c r="T39" s="11"/>
      <c r="AM39" s="76"/>
      <c r="AN39" s="14">
        <v>2005</v>
      </c>
      <c r="AO39" s="15">
        <f t="shared" si="3"/>
        <v>2.89</v>
      </c>
      <c r="AP39" s="15">
        <f t="shared" si="4"/>
        <v>2.16</v>
      </c>
      <c r="AQ39" s="18"/>
      <c r="AR39" s="18"/>
      <c r="AS39" s="18"/>
      <c r="AT39" s="18"/>
      <c r="AU39" s="18"/>
      <c r="AV39" s="18"/>
      <c r="AW39" s="18"/>
      <c r="AX39" s="18"/>
      <c r="AY39" s="14"/>
      <c r="AZ39" s="14"/>
      <c r="BA39" s="14"/>
      <c r="BB39" s="14"/>
      <c r="BC39" s="14"/>
      <c r="BD39" s="14"/>
      <c r="BE39" s="14"/>
      <c r="BF39" s="14"/>
      <c r="BG39" s="14"/>
      <c r="BH39" s="14"/>
      <c r="BI39" s="14"/>
      <c r="BJ39" s="14"/>
      <c r="BK39" s="14"/>
      <c r="BL39" s="14"/>
      <c r="BM39" s="14"/>
      <c r="BN39" s="14"/>
      <c r="BO39" s="14"/>
    </row>
    <row r="40" spans="1:77" x14ac:dyDescent="0.25">
      <c r="A40" s="11"/>
      <c r="B40" s="11"/>
      <c r="C40" s="11">
        <v>2002</v>
      </c>
      <c r="D40" s="23">
        <f>IF($F$5=ref!$B$2,BC16,IF($F$5=ref!$B$3,AQ16,IF($F$5="Caries-Free at 5 Years of Age",BA16, IF($F$5 = "Caries-free at Year 8", AO16))))</f>
        <v>2.74</v>
      </c>
      <c r="E40" s="23">
        <f>IF($F$5=ref!$B$2,BD16,IF($F$5=ref!$B$3,AR16,IF($F$5="Caries-Free at 5 Years of Age",BB16, IF($F$5 = "Caries-free at Year 8", AP16))))</f>
        <v>1.7999999999999998</v>
      </c>
      <c r="F40" s="24">
        <f>D40/E40</f>
        <v>1.5222222222222226</v>
      </c>
      <c r="G40" s="25"/>
      <c r="H40" s="11"/>
      <c r="I40" s="24"/>
      <c r="J40" s="24"/>
      <c r="K40" s="11"/>
      <c r="L40" s="11">
        <v>2002</v>
      </c>
      <c r="M40" s="23">
        <f>IF($F$5=ref!$B$2,BG16,IF($F$5=ref!$B$3,AU16,IF($F$5="Caries-Free at 5 Years of Age",BE16, IF($F$5 = "Caries-free at Year 8", AS16))))</f>
        <v>4.3600000000000003</v>
      </c>
      <c r="N40" s="23">
        <f>IF($F$5=ref!$B$2,BH16,IF($F$5=ref!$B$3,AV16,IF($F$5="Caries-Free at 5 Years of Age",BF16, IF($F$5 = "Caries-free at Year 8", AT16))))</f>
        <v>2.9450000000000003</v>
      </c>
      <c r="O40" s="24">
        <f>M40/N40</f>
        <v>1.4804753820033956</v>
      </c>
      <c r="P40" s="25"/>
      <c r="Q40" s="11"/>
      <c r="R40" s="24"/>
      <c r="S40" s="24"/>
      <c r="T40" s="11"/>
      <c r="AM40" s="76"/>
      <c r="AN40" s="14">
        <v>2006</v>
      </c>
      <c r="AO40" s="15">
        <f t="shared" si="3"/>
        <v>2.97</v>
      </c>
      <c r="AP40" s="15">
        <f t="shared" si="4"/>
        <v>2.2999999999999998</v>
      </c>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row>
    <row r="41" spans="1:77" x14ac:dyDescent="0.25">
      <c r="A41" s="11"/>
      <c r="B41" s="11"/>
      <c r="C41" s="11">
        <v>2003</v>
      </c>
      <c r="D41" s="23">
        <f>IF($F$5=ref!$B$2,BC17,IF($F$5=ref!$B$3,AQ17,IF($F$5="Caries-Free at 5 Years of Age",BA17, IF($F$5 = "Caries-free at Year 8", AO17))))</f>
        <v>2.95</v>
      </c>
      <c r="E41" s="23">
        <f>IF($F$5=ref!$B$2,BD17,IF($F$5=ref!$B$3,AR17,IF($F$5="Caries-Free at 5 Years of Age",BB17, IF($F$5 = "Caries-free at Year 8", AP17))))</f>
        <v>1.9949999999999999</v>
      </c>
      <c r="F41" s="24">
        <f t="shared" ref="F41:F50" si="5">D41/E41</f>
        <v>1.4786967418546368</v>
      </c>
      <c r="G41" s="25"/>
      <c r="H41" s="11"/>
      <c r="I41" s="26"/>
      <c r="J41" s="26"/>
      <c r="K41" s="11"/>
      <c r="L41" s="11">
        <v>2003</v>
      </c>
      <c r="M41" s="23">
        <f>IF($F$5=ref!$B$2,BG17,IF($F$5=ref!$B$3,AU17,IF($F$5="Caries-Free at 5 Years of Age",BE17, IF($F$5 = "Caries-free at Year 8", AS17))))</f>
        <v>4.8899999999999997</v>
      </c>
      <c r="N41" s="23">
        <f>IF($F$5=ref!$B$2,BH17,IF($F$5=ref!$B$3,AV17,IF($F$5="Caries-Free at 5 Years of Age",BF17, IF($F$5 = "Caries-free at Year 8", AT17))))</f>
        <v>3.13</v>
      </c>
      <c r="O41" s="24">
        <f t="shared" ref="O41:O50" si="6">M41/N41</f>
        <v>1.5623003194888179</v>
      </c>
      <c r="P41" s="25"/>
      <c r="Q41" s="11"/>
      <c r="R41" s="26"/>
      <c r="S41" s="26"/>
      <c r="T41" s="11"/>
      <c r="AM41" s="76"/>
      <c r="AN41" s="14">
        <v>2007</v>
      </c>
      <c r="AO41" s="15">
        <f t="shared" si="3"/>
        <v>3.05</v>
      </c>
      <c r="AP41" s="15">
        <f t="shared" si="4"/>
        <v>2.46</v>
      </c>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row>
    <row r="42" spans="1:77" x14ac:dyDescent="0.25">
      <c r="A42" s="11"/>
      <c r="B42" s="11"/>
      <c r="C42" s="11">
        <v>2004</v>
      </c>
      <c r="D42" s="23">
        <f>IF($F$5=ref!$B$2,BC18,IF($F$5=ref!$B$3,AQ18,IF($F$5="Caries-Free at 5 Years of Age",BA18, IF($F$5 = "Caries-free at Year 8", AO18))))</f>
        <v>2.94</v>
      </c>
      <c r="E42" s="23">
        <f>IF($F$5=ref!$B$2,BD18,IF($F$5=ref!$B$3,AR18,IF($F$5="Caries-Free at 5 Years of Age",BB18, IF($F$5 = "Caries-free at Year 8", AP18))))</f>
        <v>1.96</v>
      </c>
      <c r="F42" s="24">
        <f t="shared" si="5"/>
        <v>1.5</v>
      </c>
      <c r="G42" s="25"/>
      <c r="H42" s="11"/>
      <c r="I42" s="11"/>
      <c r="J42" s="11"/>
      <c r="K42" s="11"/>
      <c r="L42" s="11">
        <v>2004</v>
      </c>
      <c r="M42" s="23">
        <f>IF($F$5=ref!$B$2,BG18,IF($F$5=ref!$B$3,AU18,IF($F$5="Caries-Free at 5 Years of Age",BE18, IF($F$5 = "Caries-free at Year 8", AS18))))</f>
        <v>4.3899999999999997</v>
      </c>
      <c r="N42" s="23">
        <f>IF($F$5=ref!$B$2,BH18,IF($F$5=ref!$B$3,AV18,IF($F$5="Caries-Free at 5 Years of Age",BF18, IF($F$5 = "Caries-free at Year 8", AT18))))</f>
        <v>2.97</v>
      </c>
      <c r="O42" s="24">
        <f t="shared" si="6"/>
        <v>1.4781144781144779</v>
      </c>
      <c r="P42" s="25"/>
      <c r="Q42" s="11"/>
      <c r="R42" s="11"/>
      <c r="S42" s="11"/>
      <c r="T42" s="11"/>
      <c r="AM42" s="76"/>
      <c r="AN42" s="14">
        <v>2008</v>
      </c>
      <c r="AO42" s="15">
        <f t="shared" si="3"/>
        <v>2.88</v>
      </c>
      <c r="AP42" s="15">
        <f t="shared" si="4"/>
        <v>2.15</v>
      </c>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row>
    <row r="43" spans="1:77" x14ac:dyDescent="0.25">
      <c r="A43" s="11"/>
      <c r="B43" s="11"/>
      <c r="C43" s="11">
        <v>2005</v>
      </c>
      <c r="D43" s="23">
        <f>IF($F$5=ref!$B$2,BC19,IF($F$5=ref!$B$3,AQ19,IF($F$5="Caries-Free at 5 Years of Age",BA19, IF($F$5 = "Caries-free at Year 8", AO19))))</f>
        <v>2.89</v>
      </c>
      <c r="E43" s="23">
        <f>IF($F$5=ref!$B$2,BD19,IF($F$5=ref!$B$3,AR19,IF($F$5="Caries-Free at 5 Years of Age",BB19, IF($F$5 = "Caries-free at Year 8", AP19))))</f>
        <v>2.16</v>
      </c>
      <c r="F43" s="24">
        <f t="shared" si="5"/>
        <v>1.337962962962963</v>
      </c>
      <c r="G43" s="25"/>
      <c r="H43" s="11"/>
      <c r="I43" s="11"/>
      <c r="J43" s="11"/>
      <c r="K43" s="11"/>
      <c r="L43" s="11">
        <v>2005</v>
      </c>
      <c r="M43" s="23">
        <f>IF($F$5=ref!$B$2,BG19,IF($F$5=ref!$B$3,AU19,IF($F$5="Caries-Free at 5 Years of Age",BE19, IF($F$5 = "Caries-free at Year 8", AS19))))</f>
        <v>4.5999999999999996</v>
      </c>
      <c r="N43" s="23">
        <f>IF($F$5=ref!$B$2,BH19,IF($F$5=ref!$B$3,AV19,IF($F$5="Caries-Free at 5 Years of Age",BF19, IF($F$5 = "Caries-free at Year 8", AT19))))</f>
        <v>3.0049999999999999</v>
      </c>
      <c r="O43" s="24">
        <f t="shared" si="6"/>
        <v>1.5307820299500832</v>
      </c>
      <c r="P43" s="25"/>
      <c r="Q43" s="11"/>
      <c r="R43" s="11"/>
      <c r="S43" s="11"/>
      <c r="T43" s="11"/>
      <c r="AM43" s="76"/>
      <c r="AN43" s="14">
        <v>2009</v>
      </c>
      <c r="AO43" s="15">
        <f t="shared" si="3"/>
        <v>3.74</v>
      </c>
      <c r="AP43" s="15">
        <f t="shared" si="4"/>
        <v>2.335</v>
      </c>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row>
    <row r="44" spans="1:77" x14ac:dyDescent="0.25">
      <c r="A44" s="11"/>
      <c r="B44" s="11"/>
      <c r="C44" s="11">
        <v>2006</v>
      </c>
      <c r="D44" s="23">
        <f>IF($F$5=ref!$B$2,BC20,IF($F$5=ref!$B$3,AQ20,IF($F$5="Caries-Free at 5 Years of Age",BA20, IF($F$5 = "Caries-free at Year 8", AO20))))</f>
        <v>2.97</v>
      </c>
      <c r="E44" s="23">
        <f>IF($F$5=ref!$B$2,BD20,IF($F$5=ref!$B$3,AR20,IF($F$5="Caries-Free at 5 Years of Age",BB20, IF($F$5 = "Caries-free at Year 8", AP20))))</f>
        <v>2.2999999999999998</v>
      </c>
      <c r="F44" s="24">
        <f t="shared" si="5"/>
        <v>1.2913043478260871</v>
      </c>
      <c r="G44" s="25"/>
      <c r="H44" s="11"/>
      <c r="I44" s="11"/>
      <c r="J44" s="11"/>
      <c r="K44" s="11"/>
      <c r="L44" s="11">
        <v>2006</v>
      </c>
      <c r="M44" s="23">
        <f>IF($F$5=ref!$B$2,BG20,IF($F$5=ref!$B$3,AU20,IF($F$5="Caries-Free at 5 Years of Age",BE20, IF($F$5 = "Caries-free at Year 8", AS20))))</f>
        <v>4.5599999999999996</v>
      </c>
      <c r="N44" s="23">
        <f>IF($F$5=ref!$B$2,BH20,IF($F$5=ref!$B$3,AV20,IF($F$5="Caries-Free at 5 Years of Age",BF20, IF($F$5 = "Caries-free at Year 8", AT20))))</f>
        <v>3.0649999999999999</v>
      </c>
      <c r="O44" s="24">
        <f t="shared" si="6"/>
        <v>1.4877650897226753</v>
      </c>
      <c r="P44" s="25"/>
      <c r="Q44" s="11"/>
      <c r="R44" s="11"/>
      <c r="S44" s="11"/>
      <c r="T44" s="11"/>
      <c r="AM44" s="76"/>
      <c r="AN44" s="14">
        <v>2010</v>
      </c>
      <c r="AO44" s="15">
        <f t="shared" si="3"/>
        <v>2.62</v>
      </c>
      <c r="AP44" s="15">
        <f t="shared" si="4"/>
        <v>2.3199999999999998</v>
      </c>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row>
    <row r="45" spans="1:77" x14ac:dyDescent="0.25">
      <c r="A45" s="11"/>
      <c r="B45" s="11"/>
      <c r="C45" s="11">
        <v>2007</v>
      </c>
      <c r="D45" s="23">
        <f>IF($F$5=ref!$B$2,BC21,IF($F$5=ref!$B$3,AQ21,IF($F$5="Caries-Free at 5 Years of Age",BA21, IF($F$5 = "Caries-free at Year 8", AO21))))</f>
        <v>3.05</v>
      </c>
      <c r="E45" s="23">
        <f>IF($F$5=ref!$B$2,BD21,IF($F$5=ref!$B$3,AR21,IF($F$5="Caries-Free at 5 Years of Age",BB21, IF($F$5 = "Caries-free at Year 8", AP21))))</f>
        <v>2.46</v>
      </c>
      <c r="F45" s="24">
        <f t="shared" si="5"/>
        <v>1.2398373983739837</v>
      </c>
      <c r="G45" s="25"/>
      <c r="H45" s="11"/>
      <c r="I45" s="11"/>
      <c r="J45" s="11"/>
      <c r="K45" s="11"/>
      <c r="L45" s="11">
        <v>2007</v>
      </c>
      <c r="M45" s="23">
        <f>IF($F$5=ref!$B$2,BG21,IF($F$5=ref!$B$3,AU21,IF($F$5="Caries-Free at 5 Years of Age",BE21, IF($F$5 = "Caries-free at Year 8", AS21))))</f>
        <v>4.2300000000000004</v>
      </c>
      <c r="N45" s="23">
        <f>IF($F$5=ref!$B$2,BH21,IF($F$5=ref!$B$3,AV21,IF($F$5="Caries-Free at 5 Years of Age",BF21, IF($F$5 = "Caries-free at Year 8", AT21))))</f>
        <v>3.41</v>
      </c>
      <c r="O45" s="24">
        <f t="shared" si="6"/>
        <v>1.2404692082111437</v>
      </c>
      <c r="P45" s="25"/>
      <c r="Q45" s="11"/>
      <c r="R45" s="11"/>
      <c r="S45" s="11"/>
      <c r="T45" s="11"/>
      <c r="AM45" s="76"/>
      <c r="AN45" s="14">
        <v>2011</v>
      </c>
      <c r="AO45" s="15">
        <f t="shared" si="3"/>
        <v>2.66</v>
      </c>
      <c r="AP45" s="15">
        <f t="shared" si="4"/>
        <v>2.2400000000000002</v>
      </c>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row>
    <row r="46" spans="1:77" x14ac:dyDescent="0.25">
      <c r="A46" s="11"/>
      <c r="B46" s="11"/>
      <c r="C46" s="11">
        <v>2008</v>
      </c>
      <c r="D46" s="23">
        <f>IF($F$5=ref!$B$2,BC22,IF($F$5=ref!$B$3,AQ22,IF($F$5="Caries-Free at 5 Years of Age",BA22, IF($F$5 = "Caries-free at Year 8", AO22))))</f>
        <v>2.88</v>
      </c>
      <c r="E46" s="23">
        <f>IF($F$5=ref!$B$2,BD22,IF($F$5=ref!$B$3,AR22,IF($F$5="Caries-Free at 5 Years of Age",BB22, IF($F$5 = "Caries-free at Year 8", AP22))))</f>
        <v>2.15</v>
      </c>
      <c r="F46" s="24">
        <f t="shared" si="5"/>
        <v>1.3395348837209302</v>
      </c>
      <c r="G46" s="25"/>
      <c r="H46" s="11"/>
      <c r="I46" s="11"/>
      <c r="J46" s="11"/>
      <c r="K46" s="11"/>
      <c r="L46" s="11">
        <v>2008</v>
      </c>
      <c r="M46" s="23">
        <f>IF($F$5=ref!$B$2,BG22,IF($F$5=ref!$B$3,AU22,IF($F$5="Caries-Free at 5 Years of Age",BE22, IF($F$5 = "Caries-free at Year 8", AS22))))</f>
        <v>4.1500000000000004</v>
      </c>
      <c r="N46" s="23">
        <f>IF($F$5=ref!$B$2,BH22,IF($F$5=ref!$B$3,AV22,IF($F$5="Caries-Free at 5 Years of Age",BF22, IF($F$5 = "Caries-free at Year 8", AT22))))</f>
        <v>2.81</v>
      </c>
      <c r="O46" s="24">
        <f t="shared" si="6"/>
        <v>1.4768683274021353</v>
      </c>
      <c r="P46" s="25"/>
      <c r="Q46" s="11"/>
      <c r="R46" s="11"/>
      <c r="S46" s="11"/>
      <c r="T46" s="11"/>
      <c r="AM46" s="76"/>
      <c r="AN46" s="14">
        <v>2012</v>
      </c>
      <c r="AO46" s="15">
        <f t="shared" si="3"/>
        <v>2.57</v>
      </c>
      <c r="AP46" s="15">
        <f t="shared" si="4"/>
        <v>2.1150000000000002</v>
      </c>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row>
    <row r="47" spans="1:77" x14ac:dyDescent="0.25">
      <c r="A47" s="11"/>
      <c r="B47" s="11"/>
      <c r="C47" s="11">
        <v>2009</v>
      </c>
      <c r="D47" s="23">
        <f>IF($F$5=ref!$B$2,BC23,IF($F$5=ref!$B$3,AQ23,IF($F$5="Caries-Free at 5 Years of Age",BA23, IF($F$5 = "Caries-free at Year 8", AO23))))</f>
        <v>3.74</v>
      </c>
      <c r="E47" s="23">
        <f>IF($F$5=ref!$B$2,BD23,IF($F$5=ref!$B$3,AR23,IF($F$5="Caries-Free at 5 Years of Age",BB23, IF($F$5 = "Caries-free at Year 8", AP23))))</f>
        <v>2.335</v>
      </c>
      <c r="F47" s="24">
        <f t="shared" si="5"/>
        <v>1.6017130620985012</v>
      </c>
      <c r="G47" s="25"/>
      <c r="H47" s="11"/>
      <c r="I47" s="11"/>
      <c r="J47" s="11"/>
      <c r="K47" s="11"/>
      <c r="L47" s="11">
        <v>2009</v>
      </c>
      <c r="M47" s="23">
        <f>IF($F$5=ref!$B$2,BG23,IF($F$5=ref!$B$3,AU23,IF($F$5="Caries-Free at 5 Years of Age",BE23, IF($F$5 = "Caries-free at Year 8", AS23))))</f>
        <v>4.0199999999999996</v>
      </c>
      <c r="N47" s="23">
        <f>IF($F$5=ref!$B$2,BH23,IF($F$5=ref!$B$3,AV23,IF($F$5="Caries-Free at 5 Years of Age",BF23, IF($F$5 = "Caries-free at Year 8", AT23))))</f>
        <v>2.85</v>
      </c>
      <c r="O47" s="24">
        <f t="shared" si="6"/>
        <v>1.4105263157894734</v>
      </c>
      <c r="P47" s="25"/>
      <c r="Q47" s="11"/>
      <c r="R47" s="11"/>
      <c r="S47" s="11"/>
      <c r="T47" s="11"/>
      <c r="AM47" s="76"/>
      <c r="AN47" s="14">
        <v>2013</v>
      </c>
      <c r="AO47" s="15">
        <f t="shared" si="3"/>
        <v>2.5099999999999998</v>
      </c>
      <c r="AP47" s="15">
        <f t="shared" si="4"/>
        <v>2.1150000000000002</v>
      </c>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row>
    <row r="48" spans="1:77" x14ac:dyDescent="0.25">
      <c r="A48" s="11"/>
      <c r="B48" s="11"/>
      <c r="C48" s="11">
        <v>2010</v>
      </c>
      <c r="D48" s="23">
        <f>IF($F$5=ref!$B$2,BC24,IF($F$5=ref!$B$3,AQ24,IF($F$5="Caries-Free at 5 Years of Age",BA24, IF($F$5 = "Caries-free at Year 8", AO24))))</f>
        <v>2.62</v>
      </c>
      <c r="E48" s="23">
        <f>IF($F$5=ref!$B$2,BD24,IF($F$5=ref!$B$3,AR24,IF($F$5="Caries-Free at 5 Years of Age",BB24, IF($F$5 = "Caries-free at Year 8", AP24))))</f>
        <v>2.3199999999999998</v>
      </c>
      <c r="F48" s="24">
        <f t="shared" si="5"/>
        <v>1.1293103448275863</v>
      </c>
      <c r="G48" s="25"/>
      <c r="H48" s="11"/>
      <c r="I48" s="11"/>
      <c r="J48" s="11"/>
      <c r="K48" s="11"/>
      <c r="L48" s="11">
        <v>2010</v>
      </c>
      <c r="M48" s="23">
        <f>IF($F$5=ref!$B$2,BG24,IF($F$5=ref!$B$3,AU24,IF($F$5="Caries-Free at 5 Years of Age",BE24, IF($F$5 = "Caries-free at Year 8", AS24))))</f>
        <v>3.65</v>
      </c>
      <c r="N48" s="23">
        <f>IF($F$5=ref!$B$2,BH24,IF($F$5=ref!$B$3,AV24,IF($F$5="Caries-Free at 5 Years of Age",BF24, IF($F$5 = "Caries-free at Year 8", AT24))))</f>
        <v>2.58</v>
      </c>
      <c r="O48" s="24">
        <f t="shared" si="6"/>
        <v>1.4147286821705425</v>
      </c>
      <c r="P48" s="25"/>
      <c r="Q48" s="11"/>
      <c r="R48" s="11"/>
      <c r="S48" s="11"/>
      <c r="T48" s="11"/>
      <c r="AM48" s="76"/>
      <c r="AN48" s="14">
        <v>2014</v>
      </c>
      <c r="AO48" s="15">
        <f t="shared" si="3"/>
        <v>2.44</v>
      </c>
      <c r="AP48" s="15">
        <f t="shared" si="4"/>
        <v>2.16</v>
      </c>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row>
    <row r="49" spans="1:77" x14ac:dyDescent="0.25">
      <c r="A49" s="11"/>
      <c r="B49" s="11"/>
      <c r="C49" s="11">
        <v>2011</v>
      </c>
      <c r="D49" s="23">
        <f>IF($F$5=ref!$B$2,BC25,IF($F$5=ref!$B$3,AQ25,IF($F$5="Caries-Free at 5 Years of Age",BA25, IF($F$5 = "Caries-free at Year 8", AO25))))</f>
        <v>2.66</v>
      </c>
      <c r="E49" s="23">
        <f>IF($F$5=ref!$B$2,BD25,IF($F$5=ref!$B$3,AR25,IF($F$5="Caries-Free at 5 Years of Age",BB25, IF($F$5 = "Caries-free at Year 8", AP25))))</f>
        <v>2.2400000000000002</v>
      </c>
      <c r="F49" s="24">
        <f t="shared" si="5"/>
        <v>1.1875</v>
      </c>
      <c r="G49" s="25"/>
      <c r="H49" s="11"/>
      <c r="I49" s="11"/>
      <c r="J49" s="11"/>
      <c r="K49" s="11"/>
      <c r="L49" s="11">
        <v>2011</v>
      </c>
      <c r="M49" s="23">
        <f>IF($F$5=ref!$B$2,BG25,IF($F$5=ref!$B$3,AU25,IF($F$5="Caries-Free at 5 Years of Age",BE25, IF($F$5 = "Caries-free at Year 8", AS25))))</f>
        <v>3.47</v>
      </c>
      <c r="N49" s="23">
        <f>IF($F$5=ref!$B$2,BH25,IF($F$5=ref!$B$3,AV25,IF($F$5="Caries-Free at 5 Years of Age",BF25, IF($F$5 = "Caries-free at Year 8", AT25))))</f>
        <v>2.4950000000000001</v>
      </c>
      <c r="O49" s="24">
        <f t="shared" si="6"/>
        <v>1.3907815631262526</v>
      </c>
      <c r="P49" s="25"/>
      <c r="Q49" s="11"/>
      <c r="R49" s="11"/>
      <c r="S49" s="11"/>
      <c r="T49" s="11"/>
      <c r="AM49" s="76"/>
      <c r="AN49" s="14">
        <v>2015</v>
      </c>
      <c r="AO49" s="15">
        <f t="shared" si="3"/>
        <v>2.4500000000000002</v>
      </c>
      <c r="AP49" s="15">
        <f t="shared" si="4"/>
        <v>2.37</v>
      </c>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row>
    <row r="50" spans="1:77" x14ac:dyDescent="0.25">
      <c r="A50" s="11"/>
      <c r="B50" s="11"/>
      <c r="C50" s="22">
        <v>2012</v>
      </c>
      <c r="D50" s="23">
        <f>IF($F$5=ref!$B$2,BC26,IF($F$5=ref!$B$3,AQ26,IF($F$5="Caries-Free at 5 Years of Age",BA26, IF($F$5 = "Caries-free at Year 8", AO26))))</f>
        <v>2.57</v>
      </c>
      <c r="E50" s="23">
        <f>IF($F$5=ref!$B$2,BD26,IF($F$5=ref!$B$3,AR26,IF($F$5="Caries-Free at 5 Years of Age",BB26, IF($F$5 = "Caries-free at Year 8", AP26))))</f>
        <v>2.1150000000000002</v>
      </c>
      <c r="F50" s="25">
        <f t="shared" si="5"/>
        <v>1.2151300236406617</v>
      </c>
      <c r="G50" s="25"/>
      <c r="H50" s="22"/>
      <c r="I50" s="22"/>
      <c r="J50" s="22"/>
      <c r="K50" s="22"/>
      <c r="L50" s="22">
        <v>2012</v>
      </c>
      <c r="M50" s="23">
        <f>IF($F$5=ref!$B$2,BG26,IF($F$5=ref!$B$3,AU26,IF($F$5="Caries-Free at 5 Years of Age",BE26, IF($F$5 = "Caries-free at Year 8", AS26))))</f>
        <v>3.72</v>
      </c>
      <c r="N50" s="23">
        <f>IF($F$5=ref!$B$2,BH26,IF($F$5=ref!$B$3,AV26,IF($F$5="Caries-Free at 5 Years of Age",BF26, IF($F$5 = "Caries-free at Year 8", AT26))))</f>
        <v>2.2749999999999999</v>
      </c>
      <c r="O50" s="25">
        <f t="shared" si="6"/>
        <v>1.6351648351648354</v>
      </c>
      <c r="P50" s="25"/>
      <c r="Q50" s="11"/>
      <c r="R50" s="11"/>
      <c r="S50" s="11"/>
      <c r="T50" s="11"/>
      <c r="AM50" s="76"/>
      <c r="AN50" s="14">
        <v>2016</v>
      </c>
      <c r="AO50" s="15">
        <f t="shared" si="3"/>
        <v>2.5299999999999998</v>
      </c>
      <c r="AP50" s="15">
        <f t="shared" si="4"/>
        <v>2.2850000000000001</v>
      </c>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row>
    <row r="51" spans="1:77" x14ac:dyDescent="0.25">
      <c r="A51" s="11"/>
      <c r="B51" s="11"/>
      <c r="C51" s="11">
        <v>2013</v>
      </c>
      <c r="D51" s="23">
        <f>IF($F$5=ref!$B$2,BC27,IF($F$5=ref!$B$3,AQ27,IF($F$5="Caries-Free at 5 Years of Age",BA27, IF($F$5 = "Caries-free at Year 8", AO27))))</f>
        <v>2.5099999999999998</v>
      </c>
      <c r="E51" s="23">
        <f>IF($F$5=ref!$B$2,BD27,IF($F$5=ref!$B$3,AR27,IF($F$5="Caries-Free at 5 Years of Age",BB27, IF($F$5 = "Caries-free at Year 8", AP27))))</f>
        <v>2.1150000000000002</v>
      </c>
      <c r="F51" s="25">
        <f t="shared" ref="F51:F54" si="7">D51/E51</f>
        <v>1.1867612293144205</v>
      </c>
      <c r="G51" s="25"/>
      <c r="H51" s="11"/>
      <c r="I51" s="11"/>
      <c r="J51" s="11"/>
      <c r="K51" s="11"/>
      <c r="L51" s="11">
        <v>2013</v>
      </c>
      <c r="M51" s="23">
        <f>IF($F$5=ref!$B$2,BG27,IF($F$5=ref!$B$3,AU27,IF($F$5="Caries-Free at 5 Years of Age",BE27, IF($F$5 = "Caries-free at Year 8", AS27))))</f>
        <v>3.72</v>
      </c>
      <c r="N51" s="23">
        <f>IF($F$5=ref!$B$2,BH27,IF($F$5=ref!$B$3,AV27,IF($F$5="Caries-Free at 5 Years of Age",BF27, IF($F$5 = "Caries-free at Year 8", AT27))))</f>
        <v>2.6749999999999998</v>
      </c>
      <c r="O51" s="25">
        <f t="shared" ref="O51:O54" si="8">M51/N51</f>
        <v>1.3906542056074769</v>
      </c>
      <c r="P51" s="25"/>
      <c r="Q51" s="11"/>
      <c r="R51" s="11"/>
      <c r="S51" s="11"/>
      <c r="T51" s="11"/>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Y51" s="7"/>
    </row>
    <row r="52" spans="1:77" ht="12.75" customHeight="1" x14ac:dyDescent="0.25">
      <c r="A52" s="11"/>
      <c r="B52" s="11"/>
      <c r="C52" s="22">
        <v>2014</v>
      </c>
      <c r="D52" s="23">
        <f>IF($F$5=ref!$B$2,BC28,IF($F$5=ref!$B$3,AQ28,IF($F$5="Caries-Free at 5 Years of Age",BA28, IF($F$5 = "Caries-free at Year 8", AO28))))</f>
        <v>2.44</v>
      </c>
      <c r="E52" s="23">
        <f>IF($F$5=ref!$B$2,BD28,IF($F$5=ref!$B$3,AR28,IF($F$5="Caries-Free at 5 Years of Age",BB28, IF($F$5 = "Caries-free at Year 8", AP28))))</f>
        <v>2.16</v>
      </c>
      <c r="F52" s="25">
        <f t="shared" si="7"/>
        <v>1.1296296296296295</v>
      </c>
      <c r="G52" s="25"/>
      <c r="H52" s="11"/>
      <c r="I52" s="11"/>
      <c r="J52" s="11"/>
      <c r="K52" s="11"/>
      <c r="L52" s="22">
        <v>2014</v>
      </c>
      <c r="M52" s="23">
        <f>IF($F$5=ref!$B$2,BG28,IF($F$5=ref!$B$3,AU28,IF($F$5="Caries-Free at 5 Years of Age",BE28, IF($F$5 = "Caries-free at Year 8", AS28))))</f>
        <v>3.44</v>
      </c>
      <c r="N52" s="23">
        <f>IF($F$5=ref!$B$2,BH28,IF($F$5=ref!$B$3,AV28,IF($F$5="Caries-Free at 5 Years of Age",BF28, IF($F$5 = "Caries-free at Year 8", AT28))))</f>
        <v>2.5300000000000002</v>
      </c>
      <c r="O52" s="25">
        <f t="shared" si="8"/>
        <v>1.3596837944664031</v>
      </c>
      <c r="P52" s="25"/>
      <c r="Q52" s="11"/>
      <c r="R52" s="11"/>
      <c r="S52" s="11"/>
      <c r="T52" s="11"/>
      <c r="AM52" s="78" t="s">
        <v>34</v>
      </c>
      <c r="AN52" s="14">
        <v>2002</v>
      </c>
      <c r="AO52" s="15">
        <f>M40</f>
        <v>4.3600000000000003</v>
      </c>
      <c r="AP52" s="15">
        <f>N40</f>
        <v>2.9450000000000003</v>
      </c>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U52" s="12"/>
      <c r="BV52" s="12"/>
      <c r="BW52" s="12"/>
      <c r="BX52" s="12"/>
    </row>
    <row r="53" spans="1:77" x14ac:dyDescent="0.25">
      <c r="A53" s="11"/>
      <c r="B53" s="11"/>
      <c r="C53" s="11">
        <v>2015</v>
      </c>
      <c r="D53" s="23">
        <f>IF($F$5=ref!$B$2,BC29,IF($F$5=ref!$B$3,AQ29,IF($F$5="Caries-Free at 5 Years of Age",BA29, IF($F$5 = "Caries-free at Year 8", AO29))))</f>
        <v>2.4500000000000002</v>
      </c>
      <c r="E53" s="23">
        <f>IF($F$5=ref!$B$2,BD29,IF($F$5=ref!$B$3,AR29,IF($F$5="Caries-Free at 5 Years of Age",BB29, IF($F$5 = "Caries-free at Year 8", AP29))))</f>
        <v>2.37</v>
      </c>
      <c r="F53" s="25">
        <f t="shared" si="7"/>
        <v>1.0337552742616034</v>
      </c>
      <c r="G53" s="25"/>
      <c r="H53" s="11"/>
      <c r="I53" s="11"/>
      <c r="J53" s="11"/>
      <c r="K53" s="11"/>
      <c r="L53" s="11">
        <v>2015</v>
      </c>
      <c r="M53" s="23">
        <f>IF($F$5=ref!$B$2,BG29,IF($F$5=ref!$B$3,AU29,IF($F$5="Caries-Free at 5 Years of Age",BE29, IF($F$5 = "Caries-free at Year 8", AS29))))</f>
        <v>3.35</v>
      </c>
      <c r="N53" s="23">
        <f>IF($F$5=ref!$B$2,BH29,IF($F$5=ref!$B$3,AV29,IF($F$5="Caries-Free at 5 Years of Age",BF29, IF($F$5 = "Caries-free at Year 8", AT29))))</f>
        <v>2.4300000000000002</v>
      </c>
      <c r="O53" s="25">
        <f t="shared" si="8"/>
        <v>1.3786008230452675</v>
      </c>
      <c r="P53" s="25"/>
      <c r="Q53" s="11"/>
      <c r="R53" s="11"/>
      <c r="S53" s="11"/>
      <c r="T53" s="11"/>
      <c r="AM53" s="78"/>
      <c r="AN53" s="14">
        <v>2003</v>
      </c>
      <c r="AO53" s="15">
        <f t="shared" ref="AO53:AP66" si="9">M41</f>
        <v>4.8899999999999997</v>
      </c>
      <c r="AP53" s="15">
        <f t="shared" si="9"/>
        <v>3.13</v>
      </c>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U53" s="12"/>
      <c r="BV53" s="12"/>
      <c r="BW53" s="12"/>
      <c r="BX53" s="12"/>
    </row>
    <row r="54" spans="1:77" x14ac:dyDescent="0.25">
      <c r="A54" s="11"/>
      <c r="B54" s="11"/>
      <c r="C54" s="27">
        <v>2016</v>
      </c>
      <c r="D54" s="28">
        <f>IF($F$5=ref!$B$2,BC30,IF($F$5=ref!$B$3,AQ30,IF($F$5="Caries-Free at 5 Years of Age",BA30, IF($F$5 = "Caries-free at Year 8", AO30))))</f>
        <v>2.5299999999999998</v>
      </c>
      <c r="E54" s="28">
        <f>IF($F$5=ref!$B$2,BD30,IF($F$5=ref!$B$3,AR30,IF($F$5="Caries-Free at 5 Years of Age",BB30, IF($F$5 = "Caries-free at Year 8", AP30))))</f>
        <v>2.2850000000000001</v>
      </c>
      <c r="F54" s="29">
        <f t="shared" si="7"/>
        <v>1.1072210065645514</v>
      </c>
      <c r="G54" s="25"/>
      <c r="H54" s="11"/>
      <c r="I54" s="11"/>
      <c r="J54" s="11"/>
      <c r="K54" s="11"/>
      <c r="L54" s="27">
        <v>2016</v>
      </c>
      <c r="M54" s="28">
        <f>IF($F$5=ref!$B$2,BG30,IF($F$5=ref!$B$3,AU30,IF($F$5="Caries-Free at 5 Years of Age",BE30, IF($F$5 = "Caries-free at Year 8", AS30))))</f>
        <v>3.28</v>
      </c>
      <c r="N54" s="28">
        <f>IF($F$5=ref!$B$2,BH30,IF($F$5=ref!$B$3,AV30,IF($F$5="Caries-Free at 5 Years of Age",BF30, IF($F$5 = "Caries-free at Year 8", AT30))))</f>
        <v>2.4550000000000001</v>
      </c>
      <c r="O54" s="29">
        <f t="shared" si="8"/>
        <v>1.3360488798370671</v>
      </c>
      <c r="P54" s="25"/>
      <c r="Q54" s="11"/>
      <c r="R54" s="11"/>
      <c r="S54" s="11"/>
      <c r="T54" s="11"/>
      <c r="AM54" s="78"/>
      <c r="AN54" s="14">
        <v>2004</v>
      </c>
      <c r="AO54" s="15">
        <f t="shared" si="9"/>
        <v>4.3899999999999997</v>
      </c>
      <c r="AP54" s="15">
        <f t="shared" si="9"/>
        <v>2.97</v>
      </c>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U54" s="12"/>
      <c r="BV54" s="12"/>
      <c r="BW54" s="12"/>
      <c r="BX54" s="12"/>
    </row>
    <row r="55" spans="1:77" x14ac:dyDescent="0.25">
      <c r="A55" s="11"/>
      <c r="B55" s="11"/>
      <c r="C55" s="11"/>
      <c r="D55" s="24"/>
      <c r="E55" s="24"/>
      <c r="F55" s="24"/>
      <c r="G55" s="25"/>
      <c r="H55" s="24"/>
      <c r="I55" s="24"/>
      <c r="J55" s="24"/>
      <c r="K55" s="24"/>
      <c r="L55" s="24"/>
      <c r="M55" s="24"/>
      <c r="N55" s="24"/>
      <c r="O55" s="24"/>
      <c r="P55" s="25"/>
      <c r="Q55" s="11"/>
      <c r="R55" s="11"/>
      <c r="S55" s="11"/>
      <c r="T55" s="11"/>
      <c r="AM55" s="78"/>
      <c r="AN55" s="14">
        <v>2005</v>
      </c>
      <c r="AO55" s="15">
        <f t="shared" si="9"/>
        <v>4.5999999999999996</v>
      </c>
      <c r="AP55" s="15">
        <f t="shared" si="9"/>
        <v>3.0049999999999999</v>
      </c>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U55" s="12"/>
      <c r="BV55" s="12"/>
      <c r="BW55" s="12"/>
      <c r="BX55" s="12"/>
    </row>
    <row r="56" spans="1:77" x14ac:dyDescent="0.25">
      <c r="A56" s="11"/>
      <c r="B56" s="11"/>
      <c r="C56" s="11"/>
      <c r="D56" s="11"/>
      <c r="E56" s="11"/>
      <c r="F56" s="11"/>
      <c r="G56" s="11"/>
      <c r="H56" s="11"/>
      <c r="I56" s="11"/>
      <c r="J56" s="11"/>
      <c r="K56" s="11"/>
      <c r="L56" s="11"/>
      <c r="M56" s="11"/>
      <c r="N56" s="11"/>
      <c r="O56" s="11"/>
      <c r="P56" s="11"/>
      <c r="Q56" s="11"/>
      <c r="R56" s="11"/>
      <c r="S56" s="11"/>
      <c r="T56" s="11"/>
      <c r="AM56" s="78"/>
      <c r="AN56" s="14">
        <v>2006</v>
      </c>
      <c r="AO56" s="15">
        <f t="shared" si="9"/>
        <v>4.5599999999999996</v>
      </c>
      <c r="AP56" s="15">
        <f t="shared" si="9"/>
        <v>3.0649999999999999</v>
      </c>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U56" s="12"/>
      <c r="BV56" s="12"/>
      <c r="BW56" s="12"/>
      <c r="BX56" s="12"/>
    </row>
    <row r="57" spans="1:77" x14ac:dyDescent="0.25">
      <c r="A57" s="11"/>
      <c r="B57" s="11"/>
      <c r="C57" s="11"/>
      <c r="D57" s="24"/>
      <c r="E57" s="24"/>
      <c r="F57" s="11"/>
      <c r="G57" s="11"/>
      <c r="H57" s="11"/>
      <c r="I57" s="11"/>
      <c r="J57" s="11"/>
      <c r="K57" s="11"/>
      <c r="L57" s="11"/>
      <c r="M57" s="11"/>
      <c r="N57" s="11"/>
      <c r="O57" s="11"/>
      <c r="P57" s="11"/>
      <c r="Q57" s="11"/>
      <c r="R57" s="11"/>
      <c r="S57" s="11"/>
      <c r="T57" s="11"/>
      <c r="AM57" s="78"/>
      <c r="AN57" s="14">
        <v>2007</v>
      </c>
      <c r="AO57" s="15">
        <f t="shared" si="9"/>
        <v>4.2300000000000004</v>
      </c>
      <c r="AP57" s="15">
        <f t="shared" si="9"/>
        <v>3.41</v>
      </c>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U57" s="12"/>
      <c r="BV57" s="12"/>
      <c r="BW57" s="12"/>
      <c r="BX57" s="12"/>
    </row>
    <row r="58" spans="1:77" x14ac:dyDescent="0.25">
      <c r="A58" s="11"/>
      <c r="B58" s="11"/>
      <c r="C58" s="11"/>
      <c r="D58" s="11"/>
      <c r="E58" s="11"/>
      <c r="F58" s="11"/>
      <c r="G58" s="11"/>
      <c r="H58" s="11"/>
      <c r="I58" s="11"/>
      <c r="J58" s="11"/>
      <c r="K58" s="11"/>
      <c r="L58" s="11"/>
      <c r="M58" s="11"/>
      <c r="N58" s="11"/>
      <c r="O58" s="11"/>
      <c r="P58" s="11"/>
      <c r="Q58" s="11"/>
      <c r="R58" s="11"/>
      <c r="S58" s="11"/>
      <c r="T58" s="11"/>
      <c r="AM58" s="78"/>
      <c r="AN58" s="14">
        <v>2008</v>
      </c>
      <c r="AO58" s="15">
        <f t="shared" si="9"/>
        <v>4.1500000000000004</v>
      </c>
      <c r="AP58" s="15">
        <f t="shared" si="9"/>
        <v>2.81</v>
      </c>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U58" s="12"/>
      <c r="BV58" s="12"/>
      <c r="BW58" s="12"/>
      <c r="BX58" s="12"/>
    </row>
    <row r="59" spans="1:77" x14ac:dyDescent="0.25">
      <c r="A59" s="11"/>
      <c r="B59" s="11"/>
      <c r="C59" s="11" t="s">
        <v>37</v>
      </c>
      <c r="D59" s="11"/>
      <c r="E59" s="11"/>
      <c r="F59" s="11"/>
      <c r="G59" s="11"/>
      <c r="H59" s="11"/>
      <c r="I59" s="11"/>
      <c r="J59" s="11"/>
      <c r="K59" s="11"/>
      <c r="L59" s="11" t="s">
        <v>37</v>
      </c>
      <c r="M59" s="11"/>
      <c r="N59" s="11"/>
      <c r="O59" s="11"/>
      <c r="P59" s="11"/>
      <c r="Q59" s="11"/>
      <c r="R59" s="11"/>
      <c r="S59" s="11"/>
      <c r="T59" s="11"/>
      <c r="AM59" s="78"/>
      <c r="AN59" s="14">
        <v>2009</v>
      </c>
      <c r="AO59" s="15">
        <f t="shared" si="9"/>
        <v>4.0199999999999996</v>
      </c>
      <c r="AP59" s="15">
        <f t="shared" si="9"/>
        <v>2.85</v>
      </c>
      <c r="AQ59" s="14"/>
      <c r="AR59" s="14"/>
      <c r="AS59" s="14"/>
      <c r="AT59" s="14"/>
      <c r="AU59" s="14"/>
      <c r="AV59" s="14"/>
      <c r="AW59" s="14"/>
      <c r="AX59" s="14"/>
      <c r="AY59" s="14"/>
      <c r="AZ59" s="14"/>
      <c r="BA59" s="14"/>
      <c r="BB59" s="75"/>
      <c r="BC59" s="75"/>
      <c r="BD59" s="14"/>
      <c r="BE59" s="14"/>
      <c r="BF59" s="14"/>
      <c r="BG59" s="14"/>
      <c r="BH59" s="14"/>
      <c r="BI59" s="14"/>
      <c r="BJ59" s="14"/>
      <c r="BK59" s="14"/>
      <c r="BL59" s="14"/>
      <c r="BM59" s="14"/>
      <c r="BN59" s="14"/>
      <c r="BO59" s="14"/>
    </row>
    <row r="60" spans="1:77" ht="15.6" x14ac:dyDescent="0.3">
      <c r="A60" s="17"/>
      <c r="B60" s="17"/>
      <c r="C60" s="17"/>
      <c r="D60" s="17"/>
      <c r="E60" s="17"/>
      <c r="F60" s="17"/>
      <c r="G60" s="17"/>
      <c r="H60" s="17"/>
      <c r="I60" s="17"/>
      <c r="J60" s="17"/>
      <c r="K60" s="17"/>
      <c r="L60" s="17"/>
      <c r="M60" s="17"/>
      <c r="N60" s="17"/>
      <c r="O60" s="17"/>
      <c r="P60" s="17"/>
      <c r="Q60" s="17"/>
      <c r="R60" s="11"/>
      <c r="S60" s="11"/>
      <c r="T60" s="11"/>
      <c r="AM60" s="78"/>
      <c r="AN60" s="14">
        <v>2010</v>
      </c>
      <c r="AO60" s="15">
        <f t="shared" si="9"/>
        <v>3.65</v>
      </c>
      <c r="AP60" s="15">
        <f t="shared" si="9"/>
        <v>2.58</v>
      </c>
      <c r="AQ60" s="14"/>
      <c r="AR60" s="14"/>
      <c r="AS60" s="14"/>
      <c r="AT60" s="14"/>
      <c r="AU60" s="14"/>
      <c r="AV60" s="14"/>
      <c r="AW60" s="14"/>
      <c r="AX60" s="14"/>
      <c r="AY60" s="14"/>
      <c r="AZ60" s="75"/>
      <c r="BA60" s="75"/>
      <c r="BB60" s="14"/>
      <c r="BC60" s="14"/>
      <c r="BD60" s="14"/>
      <c r="BE60" s="14"/>
      <c r="BF60" s="14"/>
      <c r="BG60" s="14"/>
      <c r="BH60" s="14"/>
      <c r="BI60" s="14"/>
      <c r="BJ60" s="14"/>
      <c r="BK60" s="14"/>
      <c r="BL60" s="14"/>
      <c r="BM60" s="14"/>
      <c r="BN60" s="14"/>
      <c r="BO60" s="14"/>
    </row>
    <row r="61" spans="1:77" x14ac:dyDescent="0.25">
      <c r="A61" s="11"/>
      <c r="B61" s="11"/>
      <c r="C61" s="11"/>
      <c r="D61" s="24"/>
      <c r="E61" s="24"/>
      <c r="F61" s="11"/>
      <c r="G61" s="11"/>
      <c r="H61" s="11"/>
      <c r="I61" s="11"/>
      <c r="J61" s="11"/>
      <c r="K61" s="11"/>
      <c r="L61" s="11"/>
      <c r="M61" s="24"/>
      <c r="N61" s="24"/>
      <c r="O61" s="11"/>
      <c r="P61" s="11"/>
      <c r="Q61" s="11"/>
      <c r="R61" s="11"/>
      <c r="S61" s="11"/>
      <c r="T61" s="11"/>
      <c r="AM61" s="78"/>
      <c r="AN61" s="14">
        <v>2011</v>
      </c>
      <c r="AO61" s="15">
        <f t="shared" si="9"/>
        <v>3.47</v>
      </c>
      <c r="AP61" s="15">
        <f t="shared" si="9"/>
        <v>2.4950000000000001</v>
      </c>
      <c r="AQ61" s="14"/>
      <c r="AR61" s="14"/>
      <c r="AS61" s="14"/>
      <c r="AT61" s="75"/>
      <c r="AU61" s="75"/>
      <c r="AV61" s="75"/>
      <c r="AW61" s="75"/>
      <c r="AX61" s="14"/>
      <c r="AY61" s="14"/>
      <c r="AZ61" s="14"/>
      <c r="BA61" s="14"/>
      <c r="BB61" s="14"/>
      <c r="BC61" s="14"/>
      <c r="BD61" s="14"/>
      <c r="BE61" s="14"/>
      <c r="BF61" s="14"/>
      <c r="BG61" s="14"/>
      <c r="BH61" s="14"/>
      <c r="BI61" s="14"/>
      <c r="BJ61" s="14"/>
      <c r="BK61" s="14"/>
      <c r="BL61" s="14"/>
      <c r="BM61" s="14"/>
      <c r="BN61" s="14"/>
      <c r="BO61" s="14"/>
    </row>
    <row r="62" spans="1:77" ht="12.75" customHeight="1" x14ac:dyDescent="0.25">
      <c r="A62" s="62"/>
      <c r="B62" s="62"/>
      <c r="C62" s="62"/>
      <c r="D62" s="26"/>
      <c r="E62" s="26"/>
      <c r="F62" s="26"/>
      <c r="G62" s="26"/>
      <c r="H62" s="26"/>
      <c r="I62" s="77"/>
      <c r="J62" s="77"/>
      <c r="K62" s="77"/>
      <c r="L62" s="26"/>
      <c r="M62" s="26"/>
      <c r="N62" s="26"/>
      <c r="O62" s="11"/>
      <c r="P62" s="11"/>
      <c r="Q62" s="11"/>
      <c r="R62" s="11"/>
      <c r="S62" s="11"/>
      <c r="T62" s="11"/>
      <c r="AM62" s="78"/>
      <c r="AN62" s="14">
        <v>2012</v>
      </c>
      <c r="AO62" s="15">
        <f t="shared" si="9"/>
        <v>3.72</v>
      </c>
      <c r="AP62" s="15">
        <f t="shared" si="9"/>
        <v>2.2749999999999999</v>
      </c>
      <c r="AQ62" s="14"/>
      <c r="AR62" s="14"/>
      <c r="AS62" s="14"/>
      <c r="AT62" s="75"/>
      <c r="AU62" s="75"/>
      <c r="AV62" s="75"/>
      <c r="AW62" s="75"/>
      <c r="AX62" s="14"/>
      <c r="AY62" s="14"/>
      <c r="AZ62" s="14"/>
      <c r="BA62" s="14"/>
      <c r="BB62" s="14"/>
      <c r="BC62" s="14"/>
      <c r="BD62" s="14"/>
      <c r="BE62" s="14"/>
      <c r="BF62" s="14"/>
      <c r="BG62" s="14"/>
      <c r="BH62" s="14"/>
      <c r="BI62" s="14"/>
      <c r="BJ62" s="14"/>
      <c r="BK62" s="14"/>
      <c r="BL62" s="14"/>
      <c r="BM62" s="14"/>
      <c r="BN62" s="14"/>
      <c r="BO62" s="14"/>
    </row>
    <row r="63" spans="1:77" x14ac:dyDescent="0.25">
      <c r="A63" s="30"/>
      <c r="B63" s="30"/>
      <c r="C63" s="30"/>
      <c r="I63" s="30"/>
      <c r="J63" s="30"/>
      <c r="K63" s="30"/>
      <c r="AM63" s="78"/>
      <c r="AN63" s="14">
        <v>2013</v>
      </c>
      <c r="AO63" s="15">
        <f t="shared" si="9"/>
        <v>3.72</v>
      </c>
      <c r="AP63" s="15">
        <f t="shared" si="9"/>
        <v>2.6749999999999998</v>
      </c>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row>
    <row r="64" spans="1:77" x14ac:dyDescent="0.25">
      <c r="A64" s="30"/>
      <c r="B64" s="30"/>
      <c r="C64" s="30"/>
      <c r="I64" s="30"/>
      <c r="J64" s="30"/>
      <c r="K64" s="30"/>
      <c r="AM64" s="78"/>
      <c r="AN64" s="14">
        <v>2014</v>
      </c>
      <c r="AO64" s="15">
        <f t="shared" si="9"/>
        <v>3.44</v>
      </c>
      <c r="AP64" s="15">
        <f t="shared" si="9"/>
        <v>2.5300000000000002</v>
      </c>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row>
    <row r="65" spans="1:67" x14ac:dyDescent="0.25">
      <c r="A65" s="63"/>
      <c r="B65" s="63"/>
      <c r="C65" s="63"/>
      <c r="I65" s="63"/>
      <c r="J65" s="63"/>
      <c r="K65" s="63"/>
      <c r="AM65" s="78"/>
      <c r="AN65" s="14">
        <v>2015</v>
      </c>
      <c r="AO65" s="15">
        <f t="shared" si="9"/>
        <v>3.35</v>
      </c>
      <c r="AP65" s="15">
        <f t="shared" si="9"/>
        <v>2.4300000000000002</v>
      </c>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row>
    <row r="66" spans="1:67" x14ac:dyDescent="0.25">
      <c r="A66" s="63"/>
      <c r="B66" s="63"/>
      <c r="C66" s="63"/>
      <c r="I66" s="63"/>
      <c r="J66" s="63"/>
      <c r="K66" s="63"/>
      <c r="AM66" s="78"/>
      <c r="AN66" s="14">
        <v>2016</v>
      </c>
      <c r="AO66" s="15">
        <f t="shared" si="9"/>
        <v>3.28</v>
      </c>
      <c r="AP66" s="15">
        <f t="shared" si="9"/>
        <v>2.4550000000000001</v>
      </c>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row>
    <row r="67" spans="1:67" x14ac:dyDescent="0.25">
      <c r="A67" s="63"/>
      <c r="B67" s="63"/>
      <c r="C67" s="63"/>
      <c r="I67" s="63"/>
      <c r="J67" s="63"/>
      <c r="K67" s="63"/>
      <c r="U67" s="63"/>
      <c r="V67" s="63"/>
      <c r="W67" s="63"/>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row>
    <row r="68" spans="1:67" x14ac:dyDescent="0.25">
      <c r="A68" s="63"/>
      <c r="B68" s="63"/>
      <c r="C68" s="63"/>
      <c r="I68" s="63"/>
      <c r="J68" s="63"/>
      <c r="K68" s="63"/>
      <c r="U68" s="63"/>
      <c r="V68" s="63"/>
      <c r="W68" s="63"/>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row>
    <row r="69" spans="1:67" x14ac:dyDescent="0.25">
      <c r="A69" s="31"/>
      <c r="B69" s="31"/>
      <c r="C69" s="31"/>
      <c r="I69" s="31"/>
      <c r="J69" s="31"/>
      <c r="K69" s="31"/>
      <c r="U69" s="63"/>
      <c r="V69" s="63"/>
      <c r="W69" s="63"/>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row>
    <row r="70" spans="1:67" x14ac:dyDescent="0.25">
      <c r="A70" s="31"/>
      <c r="B70" s="31"/>
      <c r="C70" s="31"/>
      <c r="I70" s="31"/>
      <c r="J70" s="31"/>
      <c r="K70" s="31"/>
      <c r="U70" s="63"/>
      <c r="V70" s="63"/>
      <c r="W70" s="63"/>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row>
    <row r="71" spans="1:67" x14ac:dyDescent="0.25">
      <c r="A71" s="31"/>
      <c r="B71" s="31"/>
      <c r="C71" s="31"/>
      <c r="D71" s="31"/>
      <c r="M71" s="63"/>
      <c r="N71" s="63"/>
      <c r="O71" s="63"/>
      <c r="P71" s="32"/>
      <c r="U71" s="63"/>
      <c r="V71" s="63"/>
      <c r="W71" s="63"/>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row>
    <row r="72" spans="1:67" x14ac:dyDescent="0.25">
      <c r="A72" s="31"/>
      <c r="B72" s="31"/>
      <c r="C72" s="31"/>
      <c r="D72" s="31"/>
      <c r="M72" s="63"/>
      <c r="N72" s="63"/>
      <c r="O72" s="63"/>
      <c r="P72" s="32"/>
      <c r="U72" s="63"/>
      <c r="V72" s="63"/>
      <c r="W72" s="63"/>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row>
    <row r="73" spans="1:67" x14ac:dyDescent="0.25">
      <c r="A73" s="31"/>
      <c r="B73" s="31"/>
      <c r="C73" s="31"/>
      <c r="D73" s="31"/>
      <c r="M73" s="63"/>
      <c r="N73" s="63"/>
      <c r="O73" s="63"/>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row>
    <row r="74" spans="1:67" x14ac:dyDescent="0.25">
      <c r="A74" s="31"/>
      <c r="B74" s="31"/>
      <c r="C74" s="31"/>
      <c r="D74" s="31"/>
      <c r="M74" s="63"/>
      <c r="N74" s="63"/>
      <c r="O74" s="63"/>
    </row>
    <row r="75" spans="1:67" x14ac:dyDescent="0.25">
      <c r="A75" s="31"/>
      <c r="B75" s="31"/>
      <c r="C75" s="31"/>
      <c r="D75" s="31"/>
      <c r="M75" s="63"/>
      <c r="N75" s="63"/>
      <c r="O75" s="63"/>
      <c r="P75" s="32"/>
    </row>
    <row r="76" spans="1:67" x14ac:dyDescent="0.25">
      <c r="A76" s="31"/>
      <c r="B76" s="31"/>
      <c r="C76" s="31"/>
      <c r="D76" s="31"/>
      <c r="M76" s="63"/>
      <c r="N76" s="63"/>
      <c r="O76" s="63"/>
      <c r="P76" s="32"/>
    </row>
    <row r="77" spans="1:67" x14ac:dyDescent="0.25">
      <c r="M77" s="63"/>
      <c r="N77" s="63"/>
      <c r="O77" s="63"/>
    </row>
    <row r="78" spans="1:67" x14ac:dyDescent="0.25">
      <c r="M78" s="32"/>
      <c r="N78" s="32"/>
      <c r="O78" s="32"/>
    </row>
    <row r="79" spans="1:67" x14ac:dyDescent="0.25">
      <c r="M79" s="32"/>
      <c r="N79" s="32"/>
      <c r="O79" s="32"/>
    </row>
  </sheetData>
  <sheetProtection selectLockedCells="1" selectUnlockedCells="1"/>
  <mergeCells count="62">
    <mergeCell ref="M77:O77"/>
    <mergeCell ref="M73:O73"/>
    <mergeCell ref="U69:W69"/>
    <mergeCell ref="U67:W67"/>
    <mergeCell ref="M72:O72"/>
    <mergeCell ref="U68:W68"/>
    <mergeCell ref="M74:O74"/>
    <mergeCell ref="U70:W70"/>
    <mergeCell ref="M75:O75"/>
    <mergeCell ref="U71:W71"/>
    <mergeCell ref="M76:O76"/>
    <mergeCell ref="U72:W72"/>
    <mergeCell ref="M71:O71"/>
    <mergeCell ref="A68:C68"/>
    <mergeCell ref="I68:K68"/>
    <mergeCell ref="BB59:BC59"/>
    <mergeCell ref="AT62:AU62"/>
    <mergeCell ref="AV62:AW62"/>
    <mergeCell ref="AZ60:BA60"/>
    <mergeCell ref="A62:C62"/>
    <mergeCell ref="I62:K62"/>
    <mergeCell ref="AT61:AW61"/>
    <mergeCell ref="AM52:AM66"/>
    <mergeCell ref="A65:C65"/>
    <mergeCell ref="I65:K65"/>
    <mergeCell ref="A66:C66"/>
    <mergeCell ref="I66:K66"/>
    <mergeCell ref="A67:C67"/>
    <mergeCell ref="I67:K67"/>
    <mergeCell ref="BA37:BC37"/>
    <mergeCell ref="BD37:BF37"/>
    <mergeCell ref="BG37:BI37"/>
    <mergeCell ref="BJ37:BL37"/>
    <mergeCell ref="C37:E37"/>
    <mergeCell ref="L37:N37"/>
    <mergeCell ref="AM36:AM50"/>
    <mergeCell ref="BI14:BJ14"/>
    <mergeCell ref="BK14:BL14"/>
    <mergeCell ref="BA35:BL35"/>
    <mergeCell ref="BA36:BF36"/>
    <mergeCell ref="BG36:BL36"/>
    <mergeCell ref="BI13:BL13"/>
    <mergeCell ref="AO14:AP14"/>
    <mergeCell ref="AQ14:AR14"/>
    <mergeCell ref="AS14:AT14"/>
    <mergeCell ref="AU14:AV14"/>
    <mergeCell ref="AW14:AX14"/>
    <mergeCell ref="AY14:AZ14"/>
    <mergeCell ref="BA14:BB14"/>
    <mergeCell ref="BC14:BD14"/>
    <mergeCell ref="BE14:BF14"/>
    <mergeCell ref="AO13:AR13"/>
    <mergeCell ref="AS13:AV13"/>
    <mergeCell ref="AW13:AZ13"/>
    <mergeCell ref="BA13:BD13"/>
    <mergeCell ref="BE13:BH13"/>
    <mergeCell ref="BG14:BH14"/>
    <mergeCell ref="A1:G2"/>
    <mergeCell ref="D5:E5"/>
    <mergeCell ref="F5:N5"/>
    <mergeCell ref="AO12:AZ12"/>
    <mergeCell ref="BA12:BL1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ref!$B$2:$B$5</xm:f>
          </x14:formula1>
          <xm:sqref>F5:N5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9"/>
  <sheetViews>
    <sheetView workbookViewId="0">
      <selection activeCell="L24" sqref="L24"/>
    </sheetView>
  </sheetViews>
  <sheetFormatPr defaultRowHeight="13.2" x14ac:dyDescent="0.25"/>
  <cols>
    <col min="2" max="2" width="15.44140625" customWidth="1"/>
  </cols>
  <sheetData>
    <row r="2" spans="1:3" x14ac:dyDescent="0.25">
      <c r="A2">
        <v>1</v>
      </c>
      <c r="B2" t="s">
        <v>46</v>
      </c>
    </row>
    <row r="3" spans="1:3" x14ac:dyDescent="0.25">
      <c r="A3">
        <v>2</v>
      </c>
      <c r="B3" t="s">
        <v>49</v>
      </c>
    </row>
    <row r="4" spans="1:3" x14ac:dyDescent="0.25">
      <c r="A4">
        <v>3</v>
      </c>
      <c r="B4" t="s">
        <v>11</v>
      </c>
    </row>
    <row r="5" spans="1:3" x14ac:dyDescent="0.25">
      <c r="A5">
        <v>4</v>
      </c>
      <c r="B5" t="s">
        <v>12</v>
      </c>
    </row>
    <row r="9" spans="1:3" x14ac:dyDescent="0.25">
      <c r="B9" t="s">
        <v>29</v>
      </c>
      <c r="C9" s="2" t="str">
        <f>IF('Māori vs Non-Māori'!F5=ref!B2, "Mean Number", IF('Māori vs Non-Māori'!F5=ref!B3, "Mean Number", IF('Māori vs Non-Māori'!F5=ref!B4, "Percentage (Rate Per 100)",IF('Māori vs Non-Māori'!F5=ref!B5, "Percentage (Rate Per 100)"))))</f>
        <v>Mean Number</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0"/>
  <sheetViews>
    <sheetView workbookViewId="0">
      <selection activeCell="L24" sqref="L24"/>
    </sheetView>
  </sheetViews>
  <sheetFormatPr defaultRowHeight="13.2" x14ac:dyDescent="0.25"/>
  <sheetData>
    <row r="1" spans="1:15" x14ac:dyDescent="0.25">
      <c r="B1" s="80" t="s">
        <v>35</v>
      </c>
      <c r="C1" s="80"/>
      <c r="D1" s="80"/>
      <c r="E1" s="80"/>
      <c r="F1" s="79" t="s">
        <v>36</v>
      </c>
      <c r="G1" s="79"/>
      <c r="H1" s="79"/>
      <c r="I1" s="79"/>
      <c r="J1" s="80" t="s">
        <v>5</v>
      </c>
      <c r="K1" s="80"/>
      <c r="L1" s="80"/>
      <c r="M1" s="80"/>
    </row>
    <row r="2" spans="1:15" x14ac:dyDescent="0.25">
      <c r="B2" s="80" t="s">
        <v>4</v>
      </c>
      <c r="C2" s="80"/>
      <c r="D2" s="80" t="s">
        <v>3</v>
      </c>
      <c r="E2" s="80"/>
      <c r="F2" s="80" t="s">
        <v>4</v>
      </c>
      <c r="G2" s="80"/>
      <c r="H2" s="80" t="s">
        <v>3</v>
      </c>
      <c r="I2" s="80"/>
      <c r="J2" s="80" t="s">
        <v>4</v>
      </c>
      <c r="K2" s="80"/>
      <c r="L2" s="80" t="s">
        <v>3</v>
      </c>
      <c r="M2" s="80"/>
    </row>
    <row r="3" spans="1:15" x14ac:dyDescent="0.25">
      <c r="A3" t="s">
        <v>0</v>
      </c>
      <c r="B3" t="s">
        <v>1</v>
      </c>
      <c r="C3" t="s">
        <v>2</v>
      </c>
      <c r="D3" t="s">
        <v>1</v>
      </c>
      <c r="E3" t="s">
        <v>2</v>
      </c>
      <c r="F3" t="s">
        <v>1</v>
      </c>
      <c r="G3" t="s">
        <v>2</v>
      </c>
      <c r="H3" t="s">
        <v>1</v>
      </c>
      <c r="I3" t="s">
        <v>2</v>
      </c>
      <c r="J3" t="s">
        <v>1</v>
      </c>
      <c r="K3" t="s">
        <v>2</v>
      </c>
      <c r="L3" t="s">
        <v>1</v>
      </c>
      <c r="M3" t="s">
        <v>2</v>
      </c>
    </row>
    <row r="4" spans="1:15" x14ac:dyDescent="0.25">
      <c r="A4">
        <v>2002</v>
      </c>
      <c r="B4" s="1">
        <v>39.06</v>
      </c>
      <c r="C4" s="1">
        <f>AVERAGE(58.1,47.97)</f>
        <v>53.034999999999997</v>
      </c>
      <c r="D4" s="1">
        <v>1.44</v>
      </c>
      <c r="E4" s="1">
        <f>AVERAGE(1.16,1.53)</f>
        <v>1.345</v>
      </c>
      <c r="F4" s="1">
        <v>28.63</v>
      </c>
      <c r="G4">
        <f>AVERAGE(42.32,36.72)</f>
        <v>39.519999999999996</v>
      </c>
      <c r="H4" s="1">
        <v>2.04</v>
      </c>
      <c r="I4" s="1">
        <f>AVERAGE(1.58,2.34)</f>
        <v>1.96</v>
      </c>
      <c r="J4" s="1">
        <f>AVERAGE(B4,F4)</f>
        <v>33.844999999999999</v>
      </c>
      <c r="K4" s="1">
        <f>AVERAGE(C4,G4)</f>
        <v>46.277499999999996</v>
      </c>
      <c r="L4" s="1">
        <f t="shared" ref="L4:M4" si="0">AVERAGE(D4,H4)</f>
        <v>1.74</v>
      </c>
      <c r="M4" s="1">
        <f t="shared" si="0"/>
        <v>1.6524999999999999</v>
      </c>
      <c r="N4" s="1"/>
      <c r="O4" s="1"/>
    </row>
    <row r="5" spans="1:15" x14ac:dyDescent="0.25">
      <c r="A5">
        <v>2003</v>
      </c>
      <c r="B5" s="1">
        <v>37.04</v>
      </c>
      <c r="C5" s="1">
        <f>AVERAGE(44.69,54.38)</f>
        <v>49.534999999999997</v>
      </c>
      <c r="D5" s="1">
        <v>1.89</v>
      </c>
      <c r="E5" s="1">
        <f>AVERAGE(1.27,1.7)</f>
        <v>1.4849999999999999</v>
      </c>
      <c r="F5" s="1">
        <v>27.7</v>
      </c>
      <c r="G5" s="1">
        <f>AVERAGE(29.63,43.06)</f>
        <v>36.344999999999999</v>
      </c>
      <c r="H5" s="1">
        <v>2.66</v>
      </c>
      <c r="I5" s="1">
        <f>AVERAGE(1.59,2.51)</f>
        <v>2.0499999999999998</v>
      </c>
      <c r="J5" s="1">
        <f t="shared" ref="J5:J18" si="1">AVERAGE(B5,F5)</f>
        <v>32.369999999999997</v>
      </c>
      <c r="K5" s="1">
        <f>AVERAGE(C5,G5)</f>
        <v>42.94</v>
      </c>
      <c r="L5" s="1">
        <f t="shared" ref="L5:L18" si="2">AVERAGE(D5,H5)</f>
        <v>2.2749999999999999</v>
      </c>
      <c r="M5" s="1">
        <f t="shared" ref="M5:M18" si="3">AVERAGE(E5,I5)</f>
        <v>1.7674999999999998</v>
      </c>
      <c r="N5" s="1"/>
      <c r="O5" s="1"/>
    </row>
    <row r="6" spans="1:15" x14ac:dyDescent="0.25">
      <c r="A6">
        <v>2004</v>
      </c>
      <c r="B6" s="1">
        <v>37.78</v>
      </c>
      <c r="C6" s="1">
        <f>AVERAGE(47.64,54.05)</f>
        <v>50.844999999999999</v>
      </c>
      <c r="D6" s="1">
        <v>1.9</v>
      </c>
      <c r="E6" s="1">
        <f>AVERAGE(1.52,1.14)</f>
        <v>1.33</v>
      </c>
      <c r="F6" s="1">
        <v>29.11</v>
      </c>
      <c r="G6" s="1">
        <f>AVERAGE(35.13,43.86)</f>
        <v>39.495000000000005</v>
      </c>
      <c r="H6" s="1">
        <v>2.71</v>
      </c>
      <c r="I6" s="1">
        <f>AVERAGE(1.55,2.24)</f>
        <v>1.895</v>
      </c>
      <c r="J6" s="1">
        <f t="shared" si="1"/>
        <v>33.445</v>
      </c>
      <c r="K6" s="1">
        <f t="shared" ref="K6:K18" si="4">AVERAGE(C6,G6)</f>
        <v>45.17</v>
      </c>
      <c r="L6" s="1">
        <f t="shared" si="2"/>
        <v>2.3049999999999997</v>
      </c>
      <c r="M6" s="1">
        <f t="shared" si="3"/>
        <v>1.6125</v>
      </c>
      <c r="N6" s="1"/>
      <c r="O6" s="1"/>
    </row>
    <row r="7" spans="1:15" x14ac:dyDescent="0.25">
      <c r="A7">
        <v>2005</v>
      </c>
      <c r="B7" s="1">
        <v>37.85</v>
      </c>
      <c r="C7" s="1">
        <f>AVERAGE(39.5,51.85)</f>
        <v>45.674999999999997</v>
      </c>
      <c r="D7" s="1">
        <v>1.99</v>
      </c>
      <c r="E7" s="1">
        <f>AVERAGE(1.91,1.23)</f>
        <v>1.5699999999999998</v>
      </c>
      <c r="F7" s="1">
        <v>28.03</v>
      </c>
      <c r="G7" s="1">
        <f>AVERAGE(33.33,44.08)</f>
        <v>38.704999999999998</v>
      </c>
      <c r="H7" s="1">
        <v>2.94</v>
      </c>
      <c r="I7" s="1">
        <f>AVERAGE(2.25,1.61)</f>
        <v>1.9300000000000002</v>
      </c>
      <c r="J7" s="1">
        <f t="shared" si="1"/>
        <v>32.94</v>
      </c>
      <c r="K7" s="1">
        <f t="shared" si="4"/>
        <v>42.19</v>
      </c>
      <c r="L7" s="1">
        <f t="shared" si="2"/>
        <v>2.4649999999999999</v>
      </c>
      <c r="M7" s="1">
        <f t="shared" si="3"/>
        <v>1.75</v>
      </c>
      <c r="N7" s="1"/>
      <c r="O7" s="1"/>
    </row>
    <row r="8" spans="1:15" x14ac:dyDescent="0.25">
      <c r="A8">
        <v>2006</v>
      </c>
      <c r="B8" s="1">
        <v>24.61</v>
      </c>
      <c r="C8" s="1">
        <f>AVERAGE(43.07,55.37)</f>
        <v>49.22</v>
      </c>
      <c r="D8" s="1">
        <v>2.1800000000000002</v>
      </c>
      <c r="E8" s="1">
        <f>AVERAGE(1.74,1.12)</f>
        <v>1.4300000000000002</v>
      </c>
      <c r="F8" s="1">
        <v>31.82</v>
      </c>
      <c r="G8" s="1">
        <f>AVERAGE(33.02,43.78)</f>
        <v>38.400000000000006</v>
      </c>
      <c r="H8" s="1">
        <v>2.5499999999999998</v>
      </c>
      <c r="I8" s="1">
        <f>AVERAGE(1.55,2.27)</f>
        <v>1.9100000000000001</v>
      </c>
      <c r="J8" s="1">
        <f t="shared" si="1"/>
        <v>28.215</v>
      </c>
      <c r="K8" s="1">
        <f t="shared" si="4"/>
        <v>43.81</v>
      </c>
      <c r="L8" s="1">
        <f t="shared" si="2"/>
        <v>2.3650000000000002</v>
      </c>
      <c r="M8" s="1">
        <f t="shared" si="3"/>
        <v>1.6700000000000002</v>
      </c>
      <c r="N8" s="1"/>
      <c r="O8" s="1"/>
    </row>
    <row r="9" spans="1:15" x14ac:dyDescent="0.25">
      <c r="A9">
        <v>2007</v>
      </c>
      <c r="B9" s="1">
        <v>32.51</v>
      </c>
      <c r="C9" s="1">
        <f>AVERAGE(57.01,45.29)</f>
        <v>51.15</v>
      </c>
      <c r="D9" s="1">
        <v>2.2200000000000002</v>
      </c>
      <c r="E9" s="1">
        <f>AVERAGE(1.69,1.05)</f>
        <v>1.37</v>
      </c>
      <c r="F9" s="1">
        <v>29.07</v>
      </c>
      <c r="G9" s="1">
        <f>AVERAGE(35.91,45.04)</f>
        <v>40.474999999999994</v>
      </c>
      <c r="H9" s="1">
        <v>2.65</v>
      </c>
      <c r="I9" s="1">
        <f>AVERAGE(1.52,2.39)</f>
        <v>1.9550000000000001</v>
      </c>
      <c r="J9" s="1">
        <f t="shared" si="1"/>
        <v>30.79</v>
      </c>
      <c r="K9" s="1">
        <f t="shared" si="4"/>
        <v>45.8125</v>
      </c>
      <c r="L9" s="1">
        <f t="shared" si="2"/>
        <v>2.4350000000000001</v>
      </c>
      <c r="M9" s="1">
        <f t="shared" si="3"/>
        <v>1.6625000000000001</v>
      </c>
      <c r="N9" s="1"/>
      <c r="O9" s="1"/>
    </row>
    <row r="10" spans="1:15" x14ac:dyDescent="0.25">
      <c r="A10">
        <v>2008</v>
      </c>
      <c r="B10" s="1">
        <v>44.18</v>
      </c>
      <c r="C10" s="1">
        <f>AVERAGE(50.36,60.6)</f>
        <v>55.480000000000004</v>
      </c>
      <c r="D10" s="1">
        <v>1.71</v>
      </c>
      <c r="E10" s="1">
        <f>AVERAGE(1.44,0.97)</f>
        <v>1.2050000000000001</v>
      </c>
      <c r="F10" s="1">
        <v>30.3</v>
      </c>
      <c r="G10" s="1">
        <f>AVERAGE(37.5,49.46)</f>
        <v>43.480000000000004</v>
      </c>
      <c r="H10" s="1">
        <v>2.67</v>
      </c>
      <c r="I10" s="1">
        <f>AVERAGE(1.41,2.29)</f>
        <v>1.85</v>
      </c>
      <c r="J10" s="1">
        <f t="shared" si="1"/>
        <v>37.24</v>
      </c>
      <c r="K10" s="1">
        <f t="shared" si="4"/>
        <v>49.480000000000004</v>
      </c>
      <c r="L10" s="1">
        <f t="shared" si="2"/>
        <v>2.19</v>
      </c>
      <c r="M10" s="1">
        <f t="shared" si="3"/>
        <v>1.5275000000000001</v>
      </c>
      <c r="N10" s="1"/>
      <c r="O10" s="1"/>
    </row>
    <row r="11" spans="1:15" x14ac:dyDescent="0.25">
      <c r="A11">
        <v>2009</v>
      </c>
      <c r="B11" s="1">
        <v>48.94</v>
      </c>
      <c r="C11" s="1">
        <f>AVERAGE(45.41,60.84)</f>
        <v>53.125</v>
      </c>
      <c r="D11" s="1">
        <v>1.57</v>
      </c>
      <c r="E11" s="1">
        <f>AVERAGE(1.65,0.94)</f>
        <v>1.2949999999999999</v>
      </c>
      <c r="F11" s="1">
        <v>33.08</v>
      </c>
      <c r="G11" s="1">
        <f>AVERAGE(31.62,50.92)</f>
        <v>41.27</v>
      </c>
      <c r="H11" s="1">
        <v>2.5499999999999998</v>
      </c>
      <c r="I11" s="1">
        <f>AVERAGE(2.52,1.33)</f>
        <v>1.925</v>
      </c>
      <c r="J11" s="1">
        <f t="shared" si="1"/>
        <v>41.01</v>
      </c>
      <c r="K11" s="1">
        <f t="shared" si="4"/>
        <v>47.197500000000005</v>
      </c>
      <c r="L11" s="1">
        <f t="shared" si="2"/>
        <v>2.06</v>
      </c>
      <c r="M11" s="1">
        <f t="shared" si="3"/>
        <v>1.6099999999999999</v>
      </c>
      <c r="N11" s="1"/>
      <c r="O11" s="1"/>
    </row>
    <row r="12" spans="1:15" x14ac:dyDescent="0.25">
      <c r="A12">
        <v>2010</v>
      </c>
      <c r="B12" s="1">
        <v>45.1</v>
      </c>
      <c r="C12" s="1">
        <f>AVERAGE(43.36,61.34)</f>
        <v>52.35</v>
      </c>
      <c r="D12" s="1">
        <v>1.49</v>
      </c>
      <c r="E12" s="1">
        <f>AVERAGE(1.64,0.89)</f>
        <v>1.2649999999999999</v>
      </c>
      <c r="F12" s="1">
        <v>34.630000000000003</v>
      </c>
      <c r="G12" s="1">
        <f>AVERAGE(54.51,38.95)</f>
        <v>46.730000000000004</v>
      </c>
      <c r="H12" s="1">
        <v>2.33</v>
      </c>
      <c r="I12" s="1">
        <f>AVERAGE(1.09,1.67)</f>
        <v>1.38</v>
      </c>
      <c r="J12" s="1">
        <f t="shared" si="1"/>
        <v>39.865000000000002</v>
      </c>
      <c r="K12" s="1">
        <f t="shared" si="4"/>
        <v>49.540000000000006</v>
      </c>
      <c r="L12" s="1">
        <f t="shared" si="2"/>
        <v>1.9100000000000001</v>
      </c>
      <c r="M12" s="1">
        <f t="shared" si="3"/>
        <v>1.3224999999999998</v>
      </c>
      <c r="N12" s="1"/>
      <c r="O12" s="1"/>
    </row>
    <row r="13" spans="1:15" x14ac:dyDescent="0.25">
      <c r="A13">
        <v>2011</v>
      </c>
      <c r="B13" s="1">
        <v>49.76</v>
      </c>
      <c r="C13" s="1">
        <f>AVERAGE(39.1,61.34)</f>
        <v>50.22</v>
      </c>
      <c r="D13" s="1">
        <v>1.32</v>
      </c>
      <c r="E13" s="1">
        <f>AVERAGE(1.82,0.9)</f>
        <v>1.36</v>
      </c>
      <c r="F13" s="1">
        <v>41.33</v>
      </c>
      <c r="G13" s="1">
        <f>AVERAGE(37.44,56.38)</f>
        <v>46.91</v>
      </c>
      <c r="H13" s="1">
        <v>1.73</v>
      </c>
      <c r="I13" s="1">
        <f>AVERAGE(2.1,1.12)</f>
        <v>1.61</v>
      </c>
      <c r="J13" s="1">
        <f t="shared" si="1"/>
        <v>45.545000000000002</v>
      </c>
      <c r="K13" s="1">
        <f t="shared" si="4"/>
        <v>48.564999999999998</v>
      </c>
      <c r="L13" s="1">
        <f t="shared" si="2"/>
        <v>1.5249999999999999</v>
      </c>
      <c r="M13" s="1">
        <f t="shared" si="3"/>
        <v>1.4850000000000001</v>
      </c>
      <c r="N13" s="1"/>
      <c r="O13" s="1"/>
    </row>
    <row r="14" spans="1:15" x14ac:dyDescent="0.25">
      <c r="A14">
        <v>2012</v>
      </c>
      <c r="B14" s="1">
        <v>47.41</v>
      </c>
      <c r="C14" s="1">
        <f>AVERAGE(45.16,62.99)</f>
        <v>54.075000000000003</v>
      </c>
      <c r="D14" s="1">
        <v>1.53</v>
      </c>
      <c r="E14" s="1">
        <f>AVERAGE(1.67,0.84)</f>
        <v>1.2549999999999999</v>
      </c>
      <c r="F14" s="1">
        <v>40.14</v>
      </c>
      <c r="G14" s="1">
        <f>AVERAGE(45.16,58.87)</f>
        <v>52.015000000000001</v>
      </c>
      <c r="H14" s="1">
        <v>1.96</v>
      </c>
      <c r="I14" s="1">
        <f>AVERAGE(1.79,1.05)</f>
        <v>1.42</v>
      </c>
      <c r="J14" s="1">
        <f t="shared" si="1"/>
        <v>43.774999999999999</v>
      </c>
      <c r="K14" s="1">
        <f t="shared" si="4"/>
        <v>53.045000000000002</v>
      </c>
      <c r="L14" s="1">
        <f t="shared" si="2"/>
        <v>1.7450000000000001</v>
      </c>
      <c r="M14" s="1">
        <f t="shared" si="3"/>
        <v>1.3374999999999999</v>
      </c>
      <c r="N14" s="1"/>
      <c r="O14" s="1"/>
    </row>
    <row r="15" spans="1:15" x14ac:dyDescent="0.25">
      <c r="A15">
        <v>2013</v>
      </c>
      <c r="B15" s="1">
        <v>47.02</v>
      </c>
      <c r="C15" s="1">
        <f>AVERAGE(40.16,62.33)</f>
        <v>51.244999999999997</v>
      </c>
      <c r="D15" s="1">
        <v>1.35</v>
      </c>
      <c r="E15" s="1">
        <f>AVERAGE(1.6,0.81)</f>
        <v>1.2050000000000001</v>
      </c>
      <c r="F15" s="1">
        <v>38.82</v>
      </c>
      <c r="G15" s="1">
        <f>AVERAGE(40.42,56.27)</f>
        <v>48.344999999999999</v>
      </c>
      <c r="H15" s="1">
        <v>2.02</v>
      </c>
      <c r="I15" s="1">
        <f>AVERAGE(1.82,1)</f>
        <v>1.4100000000000001</v>
      </c>
      <c r="J15" s="1">
        <f t="shared" si="1"/>
        <v>42.92</v>
      </c>
      <c r="K15" s="1">
        <f t="shared" si="4"/>
        <v>49.795000000000002</v>
      </c>
      <c r="L15" s="1">
        <f t="shared" si="2"/>
        <v>1.6850000000000001</v>
      </c>
      <c r="M15" s="1">
        <f t="shared" si="3"/>
        <v>1.3075000000000001</v>
      </c>
      <c r="N15" s="1"/>
      <c r="O15" s="1"/>
    </row>
    <row r="16" spans="1:15" x14ac:dyDescent="0.25">
      <c r="A16">
        <v>2014</v>
      </c>
      <c r="B16" s="1">
        <v>51.04</v>
      </c>
      <c r="C16" s="1">
        <f>AVERAGE(44.45,65.87)</f>
        <v>55.160000000000004</v>
      </c>
      <c r="D16" s="1">
        <v>1.25</v>
      </c>
      <c r="E16" s="1">
        <f>AVERAGE(1.51,0.7)</f>
        <v>1.105</v>
      </c>
      <c r="F16" s="1">
        <v>44.74</v>
      </c>
      <c r="G16" s="1">
        <f>AVERAGE(41.72,59.85)</f>
        <v>50.784999999999997</v>
      </c>
      <c r="H16" s="1">
        <v>2.0699999999999998</v>
      </c>
      <c r="I16" s="1">
        <f>AVERAGE(1.77,1)</f>
        <v>1.385</v>
      </c>
      <c r="J16" s="1">
        <f t="shared" si="1"/>
        <v>47.89</v>
      </c>
      <c r="K16" s="1">
        <f t="shared" si="4"/>
        <v>52.972499999999997</v>
      </c>
      <c r="L16" s="1">
        <f t="shared" si="2"/>
        <v>1.66</v>
      </c>
      <c r="M16" s="1">
        <f t="shared" si="3"/>
        <v>1.2450000000000001</v>
      </c>
      <c r="N16" s="1"/>
      <c r="O16" s="1"/>
    </row>
    <row r="17" spans="1:20" x14ac:dyDescent="0.25">
      <c r="A17">
        <v>2015</v>
      </c>
      <c r="B17" s="1">
        <v>52.57</v>
      </c>
      <c r="C17" s="1">
        <f>AVERAGE(46.8,67.71)</f>
        <v>57.254999999999995</v>
      </c>
      <c r="D17" s="1">
        <v>1.1399999999999999</v>
      </c>
      <c r="E17" s="1">
        <f>AVERAGE(1.39,0.64)</f>
        <v>1.0149999999999999</v>
      </c>
      <c r="F17" s="1">
        <v>46.59</v>
      </c>
      <c r="G17" s="1">
        <f>AVERAGE(48.34,64.59)</f>
        <v>56.465000000000003</v>
      </c>
      <c r="H17" s="1">
        <v>1.53</v>
      </c>
      <c r="I17" s="1">
        <f>AVERAGE(1.38,0.82)</f>
        <v>1.0999999999999999</v>
      </c>
      <c r="J17" s="1">
        <f t="shared" si="1"/>
        <v>49.58</v>
      </c>
      <c r="K17" s="1">
        <f t="shared" si="4"/>
        <v>56.86</v>
      </c>
      <c r="L17" s="1">
        <f t="shared" si="2"/>
        <v>1.335</v>
      </c>
      <c r="M17" s="1">
        <f t="shared" si="3"/>
        <v>1.0574999999999999</v>
      </c>
      <c r="N17" s="1"/>
      <c r="O17" s="1"/>
    </row>
    <row r="18" spans="1:20" x14ac:dyDescent="0.25">
      <c r="A18">
        <v>2016</v>
      </c>
      <c r="B18" s="1">
        <v>55.48</v>
      </c>
      <c r="C18" s="1">
        <f>AVERAGE(50.89,69.51)</f>
        <v>60.2</v>
      </c>
      <c r="D18" s="1">
        <v>1.1100000000000001</v>
      </c>
      <c r="E18" s="1">
        <f>AVERAGE(1.25,0.62)</f>
        <v>0.93500000000000005</v>
      </c>
      <c r="F18" s="1">
        <v>48.67</v>
      </c>
      <c r="G18" s="1">
        <f>AVERAGE(45.26,64.91)</f>
        <v>55.084999999999994</v>
      </c>
      <c r="H18" s="1">
        <v>1.58</v>
      </c>
      <c r="I18" s="1">
        <f>AVERAGE(1.61,0.75)</f>
        <v>1.1800000000000002</v>
      </c>
      <c r="J18" s="1">
        <f t="shared" si="1"/>
        <v>52.075000000000003</v>
      </c>
      <c r="K18" s="1">
        <f t="shared" si="4"/>
        <v>57.642499999999998</v>
      </c>
      <c r="L18" s="1">
        <f t="shared" si="2"/>
        <v>1.3450000000000002</v>
      </c>
      <c r="M18" s="1">
        <f t="shared" si="3"/>
        <v>1.0575000000000001</v>
      </c>
      <c r="N18" s="1"/>
      <c r="O18" s="1"/>
    </row>
    <row r="21" spans="1:20" x14ac:dyDescent="0.25">
      <c r="A21" t="s">
        <v>23</v>
      </c>
    </row>
    <row r="23" spans="1:20" x14ac:dyDescent="0.25">
      <c r="B23" s="80" t="s">
        <v>18</v>
      </c>
      <c r="C23" s="80"/>
      <c r="D23" s="80"/>
      <c r="E23" s="80"/>
      <c r="F23" s="80"/>
      <c r="G23" s="80"/>
      <c r="H23" s="80"/>
      <c r="I23" s="80"/>
      <c r="J23" s="80" t="s">
        <v>3</v>
      </c>
      <c r="K23" s="80"/>
      <c r="L23" s="80"/>
      <c r="M23" s="80"/>
      <c r="N23" s="80"/>
      <c r="O23" s="80"/>
      <c r="P23" s="80"/>
      <c r="Q23" s="80"/>
      <c r="R23" s="4"/>
      <c r="S23" s="4"/>
    </row>
    <row r="24" spans="1:20" x14ac:dyDescent="0.25">
      <c r="A24" s="4"/>
      <c r="B24" s="80" t="s">
        <v>1</v>
      </c>
      <c r="C24" s="80"/>
      <c r="D24" s="80"/>
      <c r="E24" s="80"/>
      <c r="F24" s="80" t="s">
        <v>2</v>
      </c>
      <c r="G24" s="80"/>
      <c r="H24" s="80"/>
      <c r="I24" s="80"/>
      <c r="J24" s="80" t="s">
        <v>1</v>
      </c>
      <c r="K24" s="80"/>
      <c r="L24" s="80"/>
      <c r="M24" s="80"/>
      <c r="N24" s="80" t="s">
        <v>2</v>
      </c>
      <c r="O24" s="80"/>
      <c r="P24" s="80"/>
      <c r="Q24" s="80"/>
      <c r="R24" s="4"/>
      <c r="S24" s="4"/>
      <c r="T24" s="4"/>
    </row>
    <row r="25" spans="1:20" x14ac:dyDescent="0.25">
      <c r="A25" s="4" t="s">
        <v>0</v>
      </c>
      <c r="B25" s="4" t="s">
        <v>19</v>
      </c>
      <c r="C25" s="4" t="s">
        <v>24</v>
      </c>
      <c r="D25" s="4" t="s">
        <v>16</v>
      </c>
      <c r="E25" s="4" t="s">
        <v>17</v>
      </c>
      <c r="F25" s="4" t="s">
        <v>19</v>
      </c>
      <c r="G25" s="4" t="s">
        <v>24</v>
      </c>
      <c r="H25" s="4" t="s">
        <v>16</v>
      </c>
      <c r="I25" s="4" t="s">
        <v>17</v>
      </c>
      <c r="J25" s="4" t="s">
        <v>20</v>
      </c>
      <c r="K25" s="4" t="s">
        <v>24</v>
      </c>
      <c r="L25" s="4" t="s">
        <v>16</v>
      </c>
      <c r="M25" s="4" t="s">
        <v>17</v>
      </c>
      <c r="N25" s="4" t="s">
        <v>20</v>
      </c>
      <c r="O25" s="4" t="s">
        <v>24</v>
      </c>
      <c r="P25" s="4" t="s">
        <v>16</v>
      </c>
      <c r="Q25" s="4" t="s">
        <v>17</v>
      </c>
      <c r="R25" s="4"/>
    </row>
    <row r="26" spans="1:20" x14ac:dyDescent="0.25">
      <c r="A26">
        <v>2002</v>
      </c>
      <c r="B26" s="5">
        <v>33.844999999999999</v>
      </c>
      <c r="C26" s="5">
        <f>1.96*(B26/SQRT(Populations!J4))</f>
        <v>0.80819715276525528</v>
      </c>
      <c r="D26" s="5">
        <f>B26-1.96*(B26/SQRT(Populations!J4))</f>
        <v>33.036802847234746</v>
      </c>
      <c r="E26" s="5">
        <f>B26+1.96*(B26/SQRT(Populations!J4))</f>
        <v>34.653197152765252</v>
      </c>
      <c r="F26" s="5">
        <v>46.277499999999996</v>
      </c>
      <c r="G26" s="5">
        <f>1.96*(F26/SQRT(Populations!M4))</f>
        <v>0.71003407228008397</v>
      </c>
      <c r="H26" s="5">
        <f>F26-1.96*(F26/SQRT(Populations!M4))</f>
        <v>45.567465927719915</v>
      </c>
      <c r="I26" s="5">
        <f>F26+1.96*(F26/SQRT(Populations!M4))</f>
        <v>46.987534072280077</v>
      </c>
      <c r="J26" s="5">
        <v>1.74</v>
      </c>
      <c r="K26" s="5">
        <f>1.96*(J26/SQRT(Populations!J4))</f>
        <v>4.1550097379569932E-2</v>
      </c>
      <c r="L26" s="5">
        <f>J26-1.96*(J26/SQRT(Populations!J4))</f>
        <v>1.6984499026204301</v>
      </c>
      <c r="M26" s="5">
        <f>J26+1.96*(J26/SQRT(Populations!J4))</f>
        <v>1.7815500973795699</v>
      </c>
      <c r="N26" s="1">
        <v>1.6524999999999999</v>
      </c>
      <c r="O26" s="5">
        <f>1.96*(N26/SQRT(Populations!M4))</f>
        <v>2.5354250001465913E-2</v>
      </c>
      <c r="P26" s="5">
        <f>N26-1.96*(N26/SQRT(Populations!M4))</f>
        <v>1.627145749998534</v>
      </c>
      <c r="Q26" s="5">
        <f>N26+1.96*(N26/SQRT(Populations!M4))</f>
        <v>1.6778542500014657</v>
      </c>
      <c r="R26" s="4"/>
    </row>
    <row r="27" spans="1:20" x14ac:dyDescent="0.25">
      <c r="A27">
        <v>2003</v>
      </c>
      <c r="B27" s="5">
        <v>32.369999999999997</v>
      </c>
      <c r="C27" s="5">
        <f>1.96*(B27/SQRT(Populations!J5))</f>
        <v>1.0754968649980758</v>
      </c>
      <c r="D27" s="5">
        <f>B27-1.96*(B27/SQRT(Populations!J5))</f>
        <v>31.294503135001921</v>
      </c>
      <c r="E27" s="5">
        <f>B27+1.96*(B27/SQRT(Populations!J5))</f>
        <v>33.44549686499807</v>
      </c>
      <c r="F27" s="5">
        <v>42.94</v>
      </c>
      <c r="G27" s="5">
        <f>1.96*(F27/SQRT(Populations!M5))</f>
        <v>0.41597325587504203</v>
      </c>
      <c r="H27" s="5">
        <f>F27-1.96*(F27/SQRT(Populations!M5))</f>
        <v>42.524026744124953</v>
      </c>
      <c r="I27" s="5">
        <f>F27+1.96*(F27/SQRT(Populations!M5))</f>
        <v>43.355973255875043</v>
      </c>
      <c r="J27" s="5">
        <v>2.2749999999999999</v>
      </c>
      <c r="K27" s="5">
        <f>1.96*(J27/SQRT(Populations!J5))</f>
        <v>7.5587129066129841E-2</v>
      </c>
      <c r="L27" s="5">
        <f>J27-1.96*(J27/SQRT(Populations!J5))</f>
        <v>2.1994128709338701</v>
      </c>
      <c r="M27" s="5">
        <f>J27+1.96*(J27/SQRT(Populations!J5))</f>
        <v>2.3505871290661298</v>
      </c>
      <c r="N27" s="5">
        <v>1.7674999999999998</v>
      </c>
      <c r="O27" s="5">
        <f>1.96*(N27/SQRT(Populations!M5))</f>
        <v>1.7122327195135928E-2</v>
      </c>
      <c r="P27" s="5">
        <f>N27-1.96*(N27/SQRT(Populations!M5))</f>
        <v>1.7503776728048639</v>
      </c>
      <c r="Q27" s="5">
        <f>N27+1.96*(N27/SQRT(Populations!M5))</f>
        <v>1.7846223271951358</v>
      </c>
      <c r="R27" s="4"/>
    </row>
    <row r="28" spans="1:20" x14ac:dyDescent="0.25">
      <c r="A28">
        <v>2004</v>
      </c>
      <c r="B28" s="5">
        <v>33.445</v>
      </c>
      <c r="C28" s="5">
        <f>1.96*(B28/SQRT(Populations!J6))</f>
        <v>0.67233909721916696</v>
      </c>
      <c r="D28" s="5">
        <f>B28-1.96*(B28/SQRT(Populations!J6))</f>
        <v>32.772660902780835</v>
      </c>
      <c r="E28" s="5">
        <f>B28+1.96*(B28/SQRT(Populations!J6))</f>
        <v>34.117339097219165</v>
      </c>
      <c r="F28" s="5">
        <v>45.17</v>
      </c>
      <c r="G28" s="5">
        <f>1.96*(F28/SQRT(Populations!M6))</f>
        <v>0.44391069496531133</v>
      </c>
      <c r="H28" s="5">
        <f>F28-1.96*(F28/SQRT(Populations!M6))</f>
        <v>44.726089305034691</v>
      </c>
      <c r="I28" s="5">
        <f>F28+1.96*(F28/SQRT(Populations!M6))</f>
        <v>45.613910694965313</v>
      </c>
      <c r="J28" s="5">
        <v>2.3049999999999997</v>
      </c>
      <c r="K28" s="5">
        <f>1.96*(J28/SQRT(Populations!J6))</f>
        <v>4.6337019557188809E-2</v>
      </c>
      <c r="L28" s="5">
        <f>J28-1.96*(J28/SQRT(Populations!J6))</f>
        <v>2.2586629804428111</v>
      </c>
      <c r="M28" s="5">
        <f>J28+1.96*(J28/SQRT(Populations!J6))</f>
        <v>2.3513370195571883</v>
      </c>
      <c r="N28" s="5">
        <v>1.6125</v>
      </c>
      <c r="O28" s="5">
        <f>1.96*(N28/SQRT(Populations!M6))</f>
        <v>1.5846933708912207E-2</v>
      </c>
      <c r="P28" s="5">
        <f>N28-1.96*(N28/SQRT(Populations!M6))</f>
        <v>1.5966530662910878</v>
      </c>
      <c r="Q28" s="5">
        <f>N28+1.96*(N28/SQRT(Populations!M6))</f>
        <v>1.6283469337089123</v>
      </c>
      <c r="R28" s="4"/>
    </row>
    <row r="29" spans="1:20" x14ac:dyDescent="0.25">
      <c r="A29">
        <v>2005</v>
      </c>
      <c r="B29" s="5">
        <v>32.94</v>
      </c>
      <c r="C29" s="5">
        <f>1.96*(B29/SQRT(Populations!J7))</f>
        <v>0.69190328726275241</v>
      </c>
      <c r="D29" s="5">
        <f>B29-1.96*(B29/SQRT(Populations!J7))</f>
        <v>32.248096712737244</v>
      </c>
      <c r="E29" s="5">
        <f>B29+1.96*(B29/SQRT(Populations!J7))</f>
        <v>33.631903287262752</v>
      </c>
      <c r="F29" s="5">
        <v>42.19</v>
      </c>
      <c r="G29" s="5">
        <f>1.96*(F29/SQRT(Populations!M7))</f>
        <v>0.41870777255022362</v>
      </c>
      <c r="H29" s="5">
        <f>F29-1.96*(F29/SQRT(Populations!M7))</f>
        <v>41.771292227449777</v>
      </c>
      <c r="I29" s="5">
        <f>F29+1.96*(F29/SQRT(Populations!M7))</f>
        <v>42.608707772550218</v>
      </c>
      <c r="J29" s="5">
        <v>2.4649999999999999</v>
      </c>
      <c r="K29" s="5">
        <f>1.96*(J29/SQRT(Populations!J7))</f>
        <v>5.1777219280591515E-2</v>
      </c>
      <c r="L29" s="5">
        <f>J29-1.96*(J29/SQRT(Populations!J7))</f>
        <v>2.4132227807194084</v>
      </c>
      <c r="M29" s="5">
        <f>J29+1.96*(J29/SQRT(Populations!J7))</f>
        <v>2.5167772192805913</v>
      </c>
      <c r="N29" s="5">
        <v>1.75</v>
      </c>
      <c r="O29" s="5">
        <f>1.96*(N29/SQRT(Populations!M7))</f>
        <v>1.7367589522704226E-2</v>
      </c>
      <c r="P29" s="5">
        <f>N29-1.96*(N29/SQRT(Populations!M7))</f>
        <v>1.7326324104772959</v>
      </c>
      <c r="Q29" s="5">
        <f>N29+1.96*(N29/SQRT(Populations!M7))</f>
        <v>1.7673675895227041</v>
      </c>
      <c r="R29" s="4"/>
    </row>
    <row r="30" spans="1:20" x14ac:dyDescent="0.25">
      <c r="A30">
        <v>2006</v>
      </c>
      <c r="B30" s="5">
        <v>28.215</v>
      </c>
      <c r="C30" s="5">
        <f>1.96*(B30/SQRT(Populations!J8))</f>
        <v>0.60595405337277453</v>
      </c>
      <c r="D30" s="5">
        <f>B30-1.96*(B30/SQRT(Populations!J8))</f>
        <v>27.609045946627226</v>
      </c>
      <c r="E30" s="5">
        <f>B30+1.96*(B30/SQRT(Populations!J8))</f>
        <v>28.820954053372773</v>
      </c>
      <c r="F30" s="5">
        <v>43.81</v>
      </c>
      <c r="G30" s="5">
        <f>1.96*(F30/SQRT(Populations!M8))</f>
        <v>0.43254531967240639</v>
      </c>
      <c r="H30" s="5">
        <f>F30-1.96*(F30/SQRT(Populations!M8))</f>
        <v>43.377454680327595</v>
      </c>
      <c r="I30" s="5">
        <f>F30+1.96*(F30/SQRT(Populations!M8))</f>
        <v>44.242545319672409</v>
      </c>
      <c r="J30" s="5">
        <v>2.3650000000000002</v>
      </c>
      <c r="K30" s="5">
        <f>1.96*(J30/SQRT(Populations!J8))</f>
        <v>5.0791470360680921E-2</v>
      </c>
      <c r="L30" s="5">
        <f>J30-1.96*(J30/SQRT(Populations!J8))</f>
        <v>2.3142085296393193</v>
      </c>
      <c r="M30" s="5">
        <f>J30+1.96*(J30/SQRT(Populations!J8))</f>
        <v>2.4157914703606811</v>
      </c>
      <c r="N30" s="5">
        <v>1.6700000000000002</v>
      </c>
      <c r="O30" s="5">
        <f>1.96*(N30/SQRT(Populations!M8))</f>
        <v>1.6488260302508988E-2</v>
      </c>
      <c r="P30" s="5">
        <f>N30-1.96*(N30/SQRT(Populations!M8))</f>
        <v>1.6535117396974912</v>
      </c>
      <c r="Q30" s="5">
        <f>N30+1.96*(N30/SQRT(Populations!M8))</f>
        <v>1.6864882603025091</v>
      </c>
      <c r="R30" s="4"/>
    </row>
    <row r="31" spans="1:20" x14ac:dyDescent="0.25">
      <c r="A31">
        <v>2007</v>
      </c>
      <c r="B31" s="5">
        <v>30.79</v>
      </c>
      <c r="C31" s="5">
        <f>1.96*(B31/SQRT(Populations!J9))</f>
        <v>0.62699847866262826</v>
      </c>
      <c r="D31" s="5">
        <f>B31-1.96*(B31/SQRT(Populations!J9))</f>
        <v>30.163001521337371</v>
      </c>
      <c r="E31" s="5">
        <f>B31+1.96*(B31/SQRT(Populations!J9))</f>
        <v>31.416998478662627</v>
      </c>
      <c r="F31" s="5">
        <v>45.8125</v>
      </c>
      <c r="G31" s="5">
        <f>1.96*(F31/SQRT(Populations!M9))</f>
        <v>0.46475976128829705</v>
      </c>
      <c r="H31" s="5">
        <f>F31-1.96*(F31/SQRT(Populations!M9))</f>
        <v>45.347740238711701</v>
      </c>
      <c r="I31" s="5">
        <f>F31+1.96*(F31/SQRT(Populations!M9))</f>
        <v>46.277259761288299</v>
      </c>
      <c r="J31" s="5">
        <v>2.4350000000000001</v>
      </c>
      <c r="K31" s="5">
        <f>1.96*(J31/SQRT(Populations!J9))</f>
        <v>4.9585621810441703E-2</v>
      </c>
      <c r="L31" s="5">
        <f>J31-1.96*(J31/SQRT(Populations!J9))</f>
        <v>2.3854143781895583</v>
      </c>
      <c r="M31" s="5">
        <f>J31+1.96*(J31/SQRT(Populations!J9))</f>
        <v>2.4845856218104418</v>
      </c>
      <c r="N31" s="5">
        <v>1.6625000000000001</v>
      </c>
      <c r="O31" s="5">
        <f>1.96*(N31/SQRT(Populations!M9))</f>
        <v>1.6865770327788132E-2</v>
      </c>
      <c r="P31" s="5">
        <f>N31-1.96*(N31/SQRT(Populations!M9))</f>
        <v>1.645634229672212</v>
      </c>
      <c r="Q31" s="5">
        <f>N31+1.96*(N31/SQRT(Populations!M9))</f>
        <v>1.6793657703277882</v>
      </c>
      <c r="R31" s="4"/>
    </row>
    <row r="32" spans="1:20" x14ac:dyDescent="0.25">
      <c r="A32">
        <v>2008</v>
      </c>
      <c r="B32" s="5">
        <v>37.24</v>
      </c>
      <c r="C32" s="5">
        <f>1.96*(B32/SQRT(Populations!J10))</f>
        <v>0.74807866588544092</v>
      </c>
      <c r="D32" s="5">
        <f>B32-1.96*(B32/SQRT(Populations!J10))</f>
        <v>36.491921334114558</v>
      </c>
      <c r="E32" s="5">
        <f>B32+1.96*(B32/SQRT(Populations!J10))</f>
        <v>37.988078665885446</v>
      </c>
      <c r="F32" s="5">
        <v>49.480000000000004</v>
      </c>
      <c r="G32" s="5">
        <f>1.96*(F32/SQRT(Populations!M10))</f>
        <v>0.5007199138047258</v>
      </c>
      <c r="H32" s="5">
        <f>F32-1.96*(F32/SQRT(Populations!M10))</f>
        <v>48.979280086195281</v>
      </c>
      <c r="I32" s="5">
        <f>F32+1.96*(F32/SQRT(Populations!M10))</f>
        <v>49.980719913804727</v>
      </c>
      <c r="J32" s="5">
        <v>2.19</v>
      </c>
      <c r="K32" s="5">
        <f>1.96*(J32/SQRT(Populations!J10))</f>
        <v>4.399281091001922E-2</v>
      </c>
      <c r="L32" s="5">
        <f>J32-1.96*(J32/SQRT(Populations!J10))</f>
        <v>2.1460071890899806</v>
      </c>
      <c r="M32" s="5">
        <f>J32+1.96*(J32/SQRT(Populations!J10))</f>
        <v>2.2339928109100193</v>
      </c>
      <c r="N32" s="5">
        <v>1.5275000000000001</v>
      </c>
      <c r="O32" s="5">
        <f>1.96*(N32/SQRT(Populations!M10))</f>
        <v>1.5457754008421962E-2</v>
      </c>
      <c r="P32" s="5">
        <f>N32-1.96*(N32/SQRT(Populations!M10))</f>
        <v>1.5120422459915781</v>
      </c>
      <c r="Q32" s="5">
        <f>N32+1.96*(N32/SQRT(Populations!M10))</f>
        <v>1.5429577540084221</v>
      </c>
      <c r="R32" s="4"/>
    </row>
    <row r="33" spans="1:18" x14ac:dyDescent="0.25">
      <c r="A33">
        <v>2009</v>
      </c>
      <c r="B33" s="5">
        <v>41.01</v>
      </c>
      <c r="C33" s="5">
        <f>1.96*(B33/SQRT(Populations!J11))</f>
        <v>0.83792418604062058</v>
      </c>
      <c r="D33" s="5">
        <f>B33-1.96*(B33/SQRT(Populations!J11))</f>
        <v>40.172075813959374</v>
      </c>
      <c r="E33" s="5">
        <f>B33+1.96*(B33/SQRT(Populations!J11))</f>
        <v>41.847924186040622</v>
      </c>
      <c r="F33" s="5">
        <v>47.197500000000005</v>
      </c>
      <c r="G33" s="5">
        <f>1.96*(F33/SQRT(Populations!M11))</f>
        <v>0.48080457444060859</v>
      </c>
      <c r="H33" s="5">
        <f>F33-1.96*(F33/SQRT(Populations!M11))</f>
        <v>46.716695425559394</v>
      </c>
      <c r="I33" s="5">
        <f>F33+1.96*(F33/SQRT(Populations!M11))</f>
        <v>47.678304574440617</v>
      </c>
      <c r="J33" s="5">
        <v>2.06</v>
      </c>
      <c r="K33" s="5">
        <f>1.96*(J33/SQRT(Populations!J11))</f>
        <v>4.2090315124205767E-2</v>
      </c>
      <c r="L33" s="5">
        <f>J33-1.96*(J33/SQRT(Populations!J11))</f>
        <v>2.0179096848757943</v>
      </c>
      <c r="M33" s="5">
        <f>J33+1.96*(J33/SQRT(Populations!J11))</f>
        <v>2.1020903151242059</v>
      </c>
      <c r="N33" s="5">
        <v>1.6099999999999999</v>
      </c>
      <c r="O33" s="5">
        <f>1.96*(N33/SQRT(Populations!M11))</f>
        <v>1.6401194233791615E-2</v>
      </c>
      <c r="P33" s="5">
        <f>N33-1.96*(N33/SQRT(Populations!M11))</f>
        <v>1.5935988057662083</v>
      </c>
      <c r="Q33" s="5">
        <f>N33+1.96*(N33/SQRT(Populations!M11))</f>
        <v>1.6264011942337915</v>
      </c>
      <c r="R33" s="4"/>
    </row>
    <row r="34" spans="1:18" x14ac:dyDescent="0.25">
      <c r="A34">
        <v>2010</v>
      </c>
      <c r="B34" s="5">
        <v>39.865000000000002</v>
      </c>
      <c r="C34" s="5">
        <f>1.96*(B34/SQRT(Populations!J12))</f>
        <v>0.80194779821299766</v>
      </c>
      <c r="D34" s="5">
        <f>B34-1.96*(B34/SQRT(Populations!J12))</f>
        <v>39.063052201787002</v>
      </c>
      <c r="E34" s="5">
        <f>B34+1.96*(B34/SQRT(Populations!J12))</f>
        <v>40.666947798213002</v>
      </c>
      <c r="F34" s="5">
        <v>49.540000000000006</v>
      </c>
      <c r="G34" s="5">
        <f>1.96*(F34/SQRT(Populations!M12))</f>
        <v>0.50311402509540304</v>
      </c>
      <c r="H34" s="5">
        <f>F34-1.96*(F34/SQRT(Populations!M12))</f>
        <v>49.036885974904607</v>
      </c>
      <c r="I34" s="5">
        <f>F34+1.96*(F34/SQRT(Populations!M12))</f>
        <v>50.043114025095406</v>
      </c>
      <c r="J34" s="5">
        <v>1.9100000000000001</v>
      </c>
      <c r="K34" s="5">
        <f>1.96*(J34/SQRT(Populations!J12))</f>
        <v>3.8422683922910462E-2</v>
      </c>
      <c r="L34" s="5">
        <f>J34-1.96*(J34/SQRT(Populations!J12))</f>
        <v>1.8715773160770897</v>
      </c>
      <c r="M34" s="5">
        <f>J34+1.96*(J34/SQRT(Populations!J12))</f>
        <v>1.9484226839229106</v>
      </c>
      <c r="N34" s="5">
        <v>1.3224999999999998</v>
      </c>
      <c r="O34" s="5">
        <f>1.96*(N34/SQRT(Populations!M12))</f>
        <v>1.3430930524599724E-2</v>
      </c>
      <c r="P34" s="5">
        <f>N34-1.96*(N34/SQRT(Populations!M12))</f>
        <v>1.3090690694754001</v>
      </c>
      <c r="Q34" s="5">
        <f>N34+1.96*(N34/SQRT(Populations!M12))</f>
        <v>1.3359309305245994</v>
      </c>
      <c r="R34" s="4"/>
    </row>
    <row r="35" spans="1:18" x14ac:dyDescent="0.25">
      <c r="A35">
        <v>2011</v>
      </c>
      <c r="B35" s="5">
        <v>45.545000000000002</v>
      </c>
      <c r="C35" s="5">
        <f>1.96*(B35/SQRT(Populations!J13))</f>
        <v>0.94762621303226591</v>
      </c>
      <c r="D35" s="5">
        <f>B35-1.96*(B35/SQRT(Populations!J13))</f>
        <v>44.597373786967736</v>
      </c>
      <c r="E35" s="5">
        <f>B35+1.96*(B35/SQRT(Populations!J13))</f>
        <v>46.492626213032267</v>
      </c>
      <c r="F35" s="5">
        <v>48.564999999999998</v>
      </c>
      <c r="G35" s="5">
        <f>1.96*(F35/SQRT(Populations!M13))</f>
        <v>0.50318646843262071</v>
      </c>
      <c r="H35" s="5">
        <f>F35-1.96*(F35/SQRT(Populations!M13))</f>
        <v>48.061813531567374</v>
      </c>
      <c r="I35" s="5">
        <f>F35+1.96*(F35/SQRT(Populations!M13))</f>
        <v>49.068186468432621</v>
      </c>
      <c r="J35" s="5">
        <v>1.5249999999999999</v>
      </c>
      <c r="K35" s="5">
        <f>1.96*(J35/SQRT(Populations!J13))</f>
        <v>3.1729717309786042E-2</v>
      </c>
      <c r="L35" s="5">
        <f>J35-1.96*(J35/SQRT(Populations!J13))</f>
        <v>1.4932702826902138</v>
      </c>
      <c r="M35" s="5">
        <f>J35+1.96*(J35/SQRT(Populations!J13))</f>
        <v>1.556729717309786</v>
      </c>
      <c r="N35" s="5">
        <v>1.4850000000000001</v>
      </c>
      <c r="O35" s="5">
        <f>1.96*(N35/SQRT(Populations!M13))</f>
        <v>1.5386222704055222E-2</v>
      </c>
      <c r="P35" s="5">
        <f>N35-1.96*(N35/SQRT(Populations!M13))</f>
        <v>1.4696137772959448</v>
      </c>
      <c r="Q35" s="5">
        <f>N35+1.96*(N35/SQRT(Populations!M13))</f>
        <v>1.5003862227040554</v>
      </c>
      <c r="R35" s="4"/>
    </row>
    <row r="36" spans="1:18" x14ac:dyDescent="0.25">
      <c r="A36">
        <v>2012</v>
      </c>
      <c r="B36" s="5">
        <v>43.774999999999999</v>
      </c>
      <c r="C36" s="5">
        <f>1.96*(B36/SQRT(Populations!J14))</f>
        <v>0.88773949144306652</v>
      </c>
      <c r="D36" s="5">
        <f>B36-1.96*(B36/SQRT(Populations!J14))</f>
        <v>42.887260508556935</v>
      </c>
      <c r="E36" s="5">
        <f>B36+1.96*(B36/SQRT(Populations!J14))</f>
        <v>44.662739491443062</v>
      </c>
      <c r="F36" s="5">
        <v>53.045000000000002</v>
      </c>
      <c r="G36" s="5">
        <f>1.96*(F36/SQRT(Populations!M14))</f>
        <v>0.55271747908376057</v>
      </c>
      <c r="H36" s="5">
        <f>F36-1.96*(F36/SQRT(Populations!M14))</f>
        <v>52.492282520916241</v>
      </c>
      <c r="I36" s="5">
        <f>F36+1.96*(F36/SQRT(Populations!M14))</f>
        <v>53.597717479083762</v>
      </c>
      <c r="J36" s="5">
        <v>1.7450000000000001</v>
      </c>
      <c r="K36" s="5">
        <f>1.96*(J36/SQRT(Populations!J14))</f>
        <v>3.5387902057524873E-2</v>
      </c>
      <c r="L36" s="5">
        <f>J36-1.96*(J36/SQRT(Populations!J14))</f>
        <v>1.7096120979424752</v>
      </c>
      <c r="M36" s="5">
        <f>J36+1.96*(J36/SQRT(Populations!J14))</f>
        <v>1.7803879020575251</v>
      </c>
      <c r="N36" s="5">
        <v>1.3374999999999999</v>
      </c>
      <c r="O36" s="5">
        <f>1.96*(N36/SQRT(Populations!M14))</f>
        <v>1.3936462027986235E-2</v>
      </c>
      <c r="P36" s="5">
        <f>N36-1.96*(N36/SQRT(Populations!M14))</f>
        <v>1.3235635379720136</v>
      </c>
      <c r="Q36" s="5">
        <f>N36+1.96*(N36/SQRT(Populations!M14))</f>
        <v>1.3514364620279862</v>
      </c>
      <c r="R36" s="4"/>
    </row>
    <row r="37" spans="1:18" x14ac:dyDescent="0.25">
      <c r="A37">
        <v>2013</v>
      </c>
      <c r="B37" s="5">
        <v>42.92</v>
      </c>
      <c r="C37" s="5">
        <f>1.96*(B37/SQRT(Populations!J15))</f>
        <v>0.83938737463659951</v>
      </c>
      <c r="D37" s="5">
        <f>B37-1.96*(B37/SQRT(Populations!J15))</f>
        <v>42.080612625363401</v>
      </c>
      <c r="E37" s="5">
        <f>B37+1.96*(B37/SQRT(Populations!J15))</f>
        <v>43.759387374636603</v>
      </c>
      <c r="F37" s="5">
        <v>49.795000000000002</v>
      </c>
      <c r="G37" s="5">
        <f>1.96*(F37/SQRT(Populations!M15))</f>
        <v>0.50640440262443964</v>
      </c>
      <c r="H37" s="5">
        <f>F37-1.96*(F37/SQRT(Populations!M15))</f>
        <v>49.288595597375561</v>
      </c>
      <c r="I37" s="5">
        <f>F37+1.96*(F37/SQRT(Populations!M15))</f>
        <v>50.301404402624442</v>
      </c>
      <c r="J37" s="5">
        <v>1.6850000000000001</v>
      </c>
      <c r="K37" s="5">
        <f>1.96*(J37/SQRT(Populations!J15))</f>
        <v>3.2953581692979267E-2</v>
      </c>
      <c r="L37" s="5">
        <f>J37-1.96*(J37/SQRT(Populations!J15))</f>
        <v>1.6520464183070207</v>
      </c>
      <c r="M37" s="5">
        <f>J37+1.96*(J37/SQRT(Populations!J15))</f>
        <v>1.7179535816929794</v>
      </c>
      <c r="N37" s="5">
        <v>1.3075000000000001</v>
      </c>
      <c r="O37" s="5">
        <f>1.96*(N37/SQRT(Populations!M15))</f>
        <v>1.3296992799105426E-2</v>
      </c>
      <c r="P37" s="5">
        <f>N37-1.96*(N37/SQRT(Populations!M15))</f>
        <v>1.2942030072008948</v>
      </c>
      <c r="Q37" s="5">
        <f>N37+1.96*(N37/SQRT(Populations!M15))</f>
        <v>1.3207969927991055</v>
      </c>
    </row>
    <row r="38" spans="1:18" x14ac:dyDescent="0.25">
      <c r="A38">
        <v>2014</v>
      </c>
      <c r="B38" s="5">
        <v>47.89</v>
      </c>
      <c r="C38" s="5">
        <f>1.96*(B38/SQRT(Populations!J16))</f>
        <v>1.0004841810892671</v>
      </c>
      <c r="D38" s="5">
        <f>B38-1.96*(B38/SQRT(Populations!J16))</f>
        <v>46.889515818910731</v>
      </c>
      <c r="E38" s="5">
        <f>B38+1.96*(B38/SQRT(Populations!J16))</f>
        <v>48.890484181089271</v>
      </c>
      <c r="F38" s="5">
        <v>52.972499999999997</v>
      </c>
      <c r="G38" s="5">
        <f>1.96*(F38/SQRT(Populations!M16))</f>
        <v>0.55616691448121769</v>
      </c>
      <c r="H38" s="5">
        <f>F38-1.96*(F38/SQRT(Populations!M16))</f>
        <v>52.416333085518779</v>
      </c>
      <c r="I38" s="5">
        <f>F38+1.96*(F38/SQRT(Populations!M16))</f>
        <v>53.528666914481214</v>
      </c>
      <c r="J38" s="5">
        <v>1.66</v>
      </c>
      <c r="K38" s="5">
        <f>1.96*(J38/SQRT(Populations!J16))</f>
        <v>3.4679551902446926E-2</v>
      </c>
      <c r="L38" s="5">
        <f>J38-1.96*(J38/SQRT(Populations!J16))</f>
        <v>1.6253204480975529</v>
      </c>
      <c r="M38" s="5">
        <f>J38+1.96*(J38/SQRT(Populations!J16))</f>
        <v>1.6946795519024469</v>
      </c>
      <c r="N38" s="5">
        <v>1.2450000000000001</v>
      </c>
      <c r="O38" s="5">
        <f>1.96*(N38/SQRT(Populations!M16))</f>
        <v>1.3071457992904168E-2</v>
      </c>
      <c r="P38" s="5">
        <f>N38-1.96*(N38/SQRT(Populations!M16))</f>
        <v>1.231928542007096</v>
      </c>
      <c r="Q38" s="5">
        <f>N38+1.96*(N38/SQRT(Populations!M16))</f>
        <v>1.2580714579929042</v>
      </c>
    </row>
    <row r="39" spans="1:18" x14ac:dyDescent="0.25">
      <c r="A39">
        <v>2015</v>
      </c>
      <c r="B39" s="5">
        <v>49.58</v>
      </c>
      <c r="C39" s="5">
        <f>1.96*(B39/SQRT(Populations!J17))</f>
        <v>0.92528354225428455</v>
      </c>
      <c r="D39" s="5">
        <f>B39-1.96*(B39/SQRT(Populations!J17))</f>
        <v>48.654716457745714</v>
      </c>
      <c r="E39" s="5">
        <f>B39+1.96*(B39/SQRT(Populations!J17))</f>
        <v>50.505283542254283</v>
      </c>
      <c r="F39" s="5">
        <v>56.86</v>
      </c>
      <c r="G39" s="5">
        <f>1.96*(F39/SQRT(Populations!M17))</f>
        <v>0.58151950588645018</v>
      </c>
      <c r="H39" s="5">
        <f>F39-1.96*(F39/SQRT(Populations!M17))</f>
        <v>56.278480494113552</v>
      </c>
      <c r="I39" s="5">
        <f>F39+1.96*(F39/SQRT(Populations!M17))</f>
        <v>57.441519505886447</v>
      </c>
      <c r="J39" s="5">
        <v>1.335</v>
      </c>
      <c r="K39" s="5">
        <f>1.96*(J39/SQRT(Populations!J17))</f>
        <v>2.4914351127661754E-2</v>
      </c>
      <c r="L39" s="5">
        <f>J39-1.96*(J39/SQRT(Populations!J17))</f>
        <v>1.3100856488723382</v>
      </c>
      <c r="M39" s="5">
        <f>J39+1.96*(J39/SQRT(Populations!J17))</f>
        <v>1.3599143511276617</v>
      </c>
      <c r="N39" s="5">
        <v>1.0574999999999999</v>
      </c>
      <c r="O39" s="5">
        <f>1.96*(N39/SQRT(Populations!M17))</f>
        <v>1.0815280996745006E-2</v>
      </c>
      <c r="P39" s="5">
        <f>N39-1.96*(N39/SQRT(Populations!M17))</f>
        <v>1.0466847190032549</v>
      </c>
      <c r="Q39" s="5">
        <f>N39+1.96*(N39/SQRT(Populations!M17))</f>
        <v>1.0683152809967449</v>
      </c>
    </row>
    <row r="40" spans="1:18" x14ac:dyDescent="0.25">
      <c r="A40">
        <v>2016</v>
      </c>
      <c r="B40" s="1">
        <v>52.075000000000003</v>
      </c>
      <c r="C40" s="5">
        <f>1.96*(B40/SQRT(Populations!J18))</f>
        <v>1.0301392966290563</v>
      </c>
      <c r="D40" s="5">
        <f>B40-1.96*(B40/SQRT(Populations!J18))</f>
        <v>51.044860703370944</v>
      </c>
      <c r="E40" s="5">
        <f>B40+1.96*(B40/SQRT(Populations!J18))</f>
        <v>53.105139296629062</v>
      </c>
      <c r="F40" s="1">
        <v>57.642499999999998</v>
      </c>
      <c r="G40" s="5">
        <f>1.96*(F40/SQRT(Populations!M18))</f>
        <v>0.58334482236317642</v>
      </c>
      <c r="H40" s="5">
        <f>F40-1.96*(F40/SQRT(Populations!M18))</f>
        <v>57.059155177636825</v>
      </c>
      <c r="I40" s="5">
        <f>F40+1.96*(F40/SQRT(Populations!M18))</f>
        <v>58.225844822363172</v>
      </c>
      <c r="J40" s="1">
        <v>1.3450000000000002</v>
      </c>
      <c r="K40" s="5">
        <f>1.96*(J40/SQRT(Populations!J18))</f>
        <v>2.6606574248028442E-2</v>
      </c>
      <c r="L40" s="5">
        <f>J40-1.96*(J40/SQRT(Populations!J18))</f>
        <v>1.3183934257519718</v>
      </c>
      <c r="M40" s="5">
        <f>J40+1.96*(J40/SQRT(Populations!J18))</f>
        <v>1.3716065742480286</v>
      </c>
      <c r="N40" s="1">
        <v>1.0575000000000001</v>
      </c>
      <c r="O40" s="5">
        <f>1.96*(N40/SQRT(Populations!M18))</f>
        <v>1.0701949944035375E-2</v>
      </c>
      <c r="P40" s="5">
        <f>N40-1.96*(N40/SQRT(Populations!M18))</f>
        <v>1.0467980500559648</v>
      </c>
      <c r="Q40" s="5">
        <f>N40+1.96*(N40/SQRT(Populations!M18))</f>
        <v>1.0682019499440354</v>
      </c>
    </row>
  </sheetData>
  <mergeCells count="15">
    <mergeCell ref="F24:I24"/>
    <mergeCell ref="B24:E24"/>
    <mergeCell ref="J24:M24"/>
    <mergeCell ref="N24:Q24"/>
    <mergeCell ref="J23:Q23"/>
    <mergeCell ref="B23:I23"/>
    <mergeCell ref="F1:I1"/>
    <mergeCell ref="H2:I2"/>
    <mergeCell ref="J2:K2"/>
    <mergeCell ref="D2:E2"/>
    <mergeCell ref="B2:C2"/>
    <mergeCell ref="B1:E1"/>
    <mergeCell ref="J1:M1"/>
    <mergeCell ref="F2:G2"/>
    <mergeCell ref="L2:M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1"/>
  <sheetViews>
    <sheetView topLeftCell="A4" workbookViewId="0">
      <selection activeCell="L24" sqref="L24"/>
    </sheetView>
  </sheetViews>
  <sheetFormatPr defaultRowHeight="13.2" x14ac:dyDescent="0.25"/>
  <sheetData>
    <row r="1" spans="1:21" x14ac:dyDescent="0.25">
      <c r="B1" s="80" t="s">
        <v>35</v>
      </c>
      <c r="C1" s="80"/>
      <c r="D1" s="80"/>
      <c r="E1" s="80"/>
      <c r="F1" s="79" t="s">
        <v>36</v>
      </c>
      <c r="G1" s="79"/>
      <c r="H1" s="79"/>
      <c r="I1" s="79"/>
      <c r="J1" s="80" t="s">
        <v>5</v>
      </c>
      <c r="K1" s="80"/>
      <c r="L1" s="80"/>
      <c r="M1" s="80"/>
      <c r="N1" s="80"/>
      <c r="O1" s="80"/>
      <c r="P1" s="80"/>
      <c r="Q1" s="80"/>
      <c r="R1" s="80"/>
      <c r="S1" s="80"/>
      <c r="T1" s="80"/>
      <c r="U1" s="80"/>
    </row>
    <row r="2" spans="1:21" x14ac:dyDescent="0.25">
      <c r="B2" s="80" t="s">
        <v>4</v>
      </c>
      <c r="C2" s="80"/>
      <c r="D2" s="80" t="s">
        <v>3</v>
      </c>
      <c r="E2" s="80"/>
      <c r="F2" s="80" t="s">
        <v>4</v>
      </c>
      <c r="G2" s="80"/>
      <c r="H2" s="80" t="s">
        <v>3</v>
      </c>
      <c r="I2" s="80"/>
      <c r="J2" s="80" t="s">
        <v>4</v>
      </c>
      <c r="K2" s="80"/>
      <c r="L2" s="80" t="s">
        <v>3</v>
      </c>
      <c r="M2" s="80"/>
      <c r="N2" s="80"/>
      <c r="O2" s="80"/>
      <c r="P2" s="80"/>
      <c r="Q2" s="80"/>
      <c r="R2" s="80"/>
      <c r="S2" s="80"/>
      <c r="T2" s="80"/>
      <c r="U2" s="80"/>
    </row>
    <row r="3" spans="1:21" x14ac:dyDescent="0.25">
      <c r="A3" t="s">
        <v>0</v>
      </c>
      <c r="B3" t="s">
        <v>1</v>
      </c>
      <c r="C3" t="s">
        <v>2</v>
      </c>
      <c r="D3" t="s">
        <v>1</v>
      </c>
      <c r="E3" t="s">
        <v>2</v>
      </c>
      <c r="F3" t="s">
        <v>1</v>
      </c>
      <c r="G3" t="s">
        <v>2</v>
      </c>
      <c r="H3" t="s">
        <v>1</v>
      </c>
      <c r="I3" t="s">
        <v>2</v>
      </c>
      <c r="J3" t="s">
        <v>1</v>
      </c>
      <c r="K3" t="s">
        <v>2</v>
      </c>
      <c r="L3" t="s">
        <v>1</v>
      </c>
      <c r="M3" t="s">
        <v>2</v>
      </c>
    </row>
    <row r="4" spans="1:21" x14ac:dyDescent="0.25">
      <c r="A4">
        <v>2002</v>
      </c>
      <c r="B4" s="1">
        <v>43.9</v>
      </c>
      <c r="C4" s="1">
        <f>AVERAGE(48.31,71.03)</f>
        <v>59.67</v>
      </c>
      <c r="D4" s="1">
        <v>2.74</v>
      </c>
      <c r="E4" s="1">
        <f>AVERAGE(2.55,1.05)</f>
        <v>1.7999999999999998</v>
      </c>
      <c r="F4" s="1">
        <v>22.53</v>
      </c>
      <c r="G4" s="1">
        <f>AVERAGE(53,28.56)</f>
        <v>40.78</v>
      </c>
      <c r="H4" s="1">
        <v>4.3600000000000003</v>
      </c>
      <c r="I4" s="1">
        <f>AVERAGE(1.96,3.93)</f>
        <v>2.9450000000000003</v>
      </c>
      <c r="J4" s="1">
        <f>AVERAGE(F4,B4)</f>
        <v>33.215000000000003</v>
      </c>
      <c r="K4" s="1">
        <f>AVERAGE(G4,C4)</f>
        <v>50.225000000000001</v>
      </c>
      <c r="L4" s="1">
        <f>AVERAGE(H4,D4)</f>
        <v>3.5500000000000003</v>
      </c>
      <c r="M4" s="1">
        <f>AVERAGE(I4,E4)</f>
        <v>2.3725000000000001</v>
      </c>
      <c r="N4" s="1"/>
      <c r="O4" s="1"/>
      <c r="P4" s="1"/>
      <c r="Q4" s="1"/>
    </row>
    <row r="5" spans="1:21" x14ac:dyDescent="0.25">
      <c r="A5">
        <v>2003</v>
      </c>
      <c r="B5" s="1">
        <v>42.6</v>
      </c>
      <c r="C5" s="1">
        <f>AVERAGE(42.92,69.68)</f>
        <v>56.300000000000004</v>
      </c>
      <c r="D5" s="1">
        <v>2.95</v>
      </c>
      <c r="E5" s="1">
        <f>AVERAGE(1.19,2.8)</f>
        <v>1.9949999999999999</v>
      </c>
      <c r="F5" s="1">
        <v>23.8</v>
      </c>
      <c r="G5" s="1">
        <f>AVERAGE(28.47,52.75)</f>
        <v>40.61</v>
      </c>
      <c r="H5" s="1">
        <v>4.8899999999999997</v>
      </c>
      <c r="I5" s="1">
        <f>AVERAGE(2.07,4.19)</f>
        <v>3.13</v>
      </c>
      <c r="J5" s="1">
        <f t="shared" ref="J5:K18" si="0">AVERAGE(F5,B5)</f>
        <v>33.200000000000003</v>
      </c>
      <c r="K5" s="1">
        <f t="shared" si="0"/>
        <v>48.454999999999998</v>
      </c>
      <c r="L5" s="1">
        <f t="shared" ref="L5:L18" si="1">AVERAGE(H5,D5)</f>
        <v>3.92</v>
      </c>
      <c r="M5" s="1">
        <f t="shared" ref="M5:M18" si="2">AVERAGE(I5,E5)</f>
        <v>2.5625</v>
      </c>
      <c r="N5" s="1"/>
      <c r="O5" s="1"/>
      <c r="P5" s="1"/>
      <c r="Q5" s="1"/>
    </row>
    <row r="6" spans="1:21" x14ac:dyDescent="0.25">
      <c r="A6">
        <v>2004</v>
      </c>
      <c r="B6" s="1">
        <v>38.08</v>
      </c>
      <c r="C6" s="1">
        <f>AVERAGE(42.71,67.03)</f>
        <v>54.870000000000005</v>
      </c>
      <c r="D6" s="1">
        <v>2.94</v>
      </c>
      <c r="E6" s="1">
        <f>AVERAGE(1.16,2.76)</f>
        <v>1.96</v>
      </c>
      <c r="F6" s="1">
        <v>24.24</v>
      </c>
      <c r="G6" s="1">
        <f>AVERAGE(32.52,52.65)</f>
        <v>42.585000000000001</v>
      </c>
      <c r="H6" s="1">
        <v>4.3899999999999997</v>
      </c>
      <c r="I6" s="1">
        <f>AVERAGE(1.97,3.97)</f>
        <v>2.97</v>
      </c>
      <c r="J6" s="1">
        <f t="shared" si="0"/>
        <v>31.159999999999997</v>
      </c>
      <c r="K6" s="1">
        <f t="shared" si="0"/>
        <v>48.727500000000006</v>
      </c>
      <c r="L6" s="1">
        <f t="shared" si="1"/>
        <v>3.665</v>
      </c>
      <c r="M6" s="1">
        <f t="shared" si="2"/>
        <v>2.4649999999999999</v>
      </c>
      <c r="N6" s="1"/>
      <c r="O6" s="1"/>
      <c r="P6" s="1"/>
      <c r="Q6" s="1"/>
    </row>
    <row r="7" spans="1:21" x14ac:dyDescent="0.25">
      <c r="A7">
        <v>2005</v>
      </c>
      <c r="B7" s="1">
        <v>37.770000000000003</v>
      </c>
      <c r="C7" s="1">
        <f>AVERAGE(36.33,44.71)</f>
        <v>40.519999999999996</v>
      </c>
      <c r="D7" s="1">
        <v>2.89</v>
      </c>
      <c r="E7" s="1">
        <f>AVERAGE(3.09,1.23)</f>
        <v>2.16</v>
      </c>
      <c r="F7" s="1">
        <v>23.63</v>
      </c>
      <c r="G7" s="1">
        <f>AVERAGE(24.69,54.89)</f>
        <v>39.79</v>
      </c>
      <c r="H7" s="1">
        <v>4.5999999999999996</v>
      </c>
      <c r="I7" s="1">
        <f>AVERAGE(4.06,1.95)</f>
        <v>3.0049999999999999</v>
      </c>
      <c r="J7" s="1">
        <f t="shared" si="0"/>
        <v>30.700000000000003</v>
      </c>
      <c r="K7" s="1">
        <f t="shared" si="0"/>
        <v>40.155000000000001</v>
      </c>
      <c r="L7" s="1">
        <f t="shared" si="1"/>
        <v>3.7450000000000001</v>
      </c>
      <c r="M7" s="1">
        <f t="shared" si="2"/>
        <v>2.5825</v>
      </c>
      <c r="N7" s="1"/>
      <c r="O7" s="1"/>
      <c r="P7" s="1"/>
      <c r="Q7" s="1"/>
    </row>
    <row r="8" spans="1:21" x14ac:dyDescent="0.25">
      <c r="A8">
        <v>2006</v>
      </c>
      <c r="B8" s="1">
        <v>38.29</v>
      </c>
      <c r="C8" s="1">
        <f>AVERAGE(32.49,67.81)</f>
        <v>50.150000000000006</v>
      </c>
      <c r="D8" s="1">
        <v>2.97</v>
      </c>
      <c r="E8" s="1">
        <f>AVERAGE(3.43,1.17)</f>
        <v>2.2999999999999998</v>
      </c>
      <c r="F8" s="1">
        <v>24.14</v>
      </c>
      <c r="G8" s="1">
        <f>AVERAGE(56.6,27.54)</f>
        <v>42.07</v>
      </c>
      <c r="H8" s="1">
        <v>4.5599999999999996</v>
      </c>
      <c r="I8" s="1">
        <f>AVERAGE(1.8,4.33)</f>
        <v>3.0649999999999999</v>
      </c>
      <c r="J8" s="1">
        <f t="shared" si="0"/>
        <v>31.215</v>
      </c>
      <c r="K8" s="1">
        <f t="shared" si="0"/>
        <v>46.11</v>
      </c>
      <c r="L8" s="1">
        <f t="shared" si="1"/>
        <v>3.7649999999999997</v>
      </c>
      <c r="M8" s="1">
        <f t="shared" si="2"/>
        <v>2.6825000000000001</v>
      </c>
      <c r="N8" s="1"/>
      <c r="O8" s="1"/>
      <c r="P8" s="1"/>
      <c r="Q8" s="1"/>
    </row>
    <row r="9" spans="1:21" x14ac:dyDescent="0.25">
      <c r="A9">
        <v>2007</v>
      </c>
      <c r="B9" s="1">
        <v>35.11</v>
      </c>
      <c r="C9" s="1">
        <f>AVERAGE(29.4,63.85)</f>
        <v>46.625</v>
      </c>
      <c r="D9" s="1">
        <v>3.05</v>
      </c>
      <c r="E9" s="1">
        <f>AVERAGE(3.57,1.35)</f>
        <v>2.46</v>
      </c>
      <c r="F9" s="1">
        <v>22.85</v>
      </c>
      <c r="G9" s="1">
        <f>AVERAGE(26.37,58.85)</f>
        <v>42.61</v>
      </c>
      <c r="H9" s="1">
        <v>4.2300000000000004</v>
      </c>
      <c r="I9" s="1">
        <f>AVERAGE(4.94,1.88)</f>
        <v>3.41</v>
      </c>
      <c r="J9" s="1">
        <f t="shared" si="0"/>
        <v>28.98</v>
      </c>
      <c r="K9" s="1">
        <f t="shared" si="0"/>
        <v>44.6175</v>
      </c>
      <c r="L9" s="1">
        <f t="shared" si="1"/>
        <v>3.64</v>
      </c>
      <c r="M9" s="1">
        <f t="shared" si="2"/>
        <v>2.9350000000000001</v>
      </c>
      <c r="N9" s="1"/>
      <c r="O9" s="1"/>
      <c r="P9" s="1"/>
      <c r="Q9" s="1"/>
    </row>
    <row r="10" spans="1:21" x14ac:dyDescent="0.25">
      <c r="A10">
        <v>2008</v>
      </c>
      <c r="B10" s="1">
        <v>40.04</v>
      </c>
      <c r="C10" s="1">
        <f>AVERAGE(33.63,69.86)</f>
        <v>51.745000000000005</v>
      </c>
      <c r="D10" s="1">
        <v>2.88</v>
      </c>
      <c r="E10" s="1">
        <f>AVERAGE(3.19,1.11)</f>
        <v>2.15</v>
      </c>
      <c r="F10" s="1">
        <v>31.97</v>
      </c>
      <c r="G10" s="1">
        <f>AVERAGE(28.02,63.47)</f>
        <v>45.744999999999997</v>
      </c>
      <c r="H10" s="1">
        <v>4.1500000000000004</v>
      </c>
      <c r="I10" s="1">
        <f>AVERAGE(4.07,1.55)</f>
        <v>2.81</v>
      </c>
      <c r="J10" s="1">
        <f t="shared" si="0"/>
        <v>36.004999999999995</v>
      </c>
      <c r="K10" s="1">
        <f t="shared" si="0"/>
        <v>48.745000000000005</v>
      </c>
      <c r="L10" s="1">
        <f t="shared" si="1"/>
        <v>3.5150000000000001</v>
      </c>
      <c r="M10" s="1">
        <f t="shared" si="2"/>
        <v>2.48</v>
      </c>
      <c r="N10" s="1"/>
      <c r="O10" s="1"/>
      <c r="P10" s="1"/>
      <c r="Q10" s="1"/>
    </row>
    <row r="11" spans="1:21" x14ac:dyDescent="0.25">
      <c r="A11">
        <v>2009</v>
      </c>
      <c r="B11" s="1">
        <v>39.54</v>
      </c>
      <c r="C11" s="1">
        <f>AVERAGE(32.53,67.97)</f>
        <v>50.25</v>
      </c>
      <c r="D11" s="1">
        <v>3.74</v>
      </c>
      <c r="E11" s="1">
        <f>AVERAGE(3.47,1.2)</f>
        <v>2.335</v>
      </c>
      <c r="F11" s="1">
        <v>29.07</v>
      </c>
      <c r="G11" s="1">
        <f>AVERAGE(27.45,63.33)</f>
        <v>45.39</v>
      </c>
      <c r="H11" s="1">
        <v>4.0199999999999996</v>
      </c>
      <c r="I11" s="1">
        <f>AVERAGE(4.29,1.41)</f>
        <v>2.85</v>
      </c>
      <c r="J11" s="1">
        <f t="shared" si="0"/>
        <v>34.305</v>
      </c>
      <c r="K11" s="1">
        <f t="shared" si="0"/>
        <v>47.82</v>
      </c>
      <c r="L11" s="1">
        <f t="shared" si="1"/>
        <v>3.88</v>
      </c>
      <c r="M11" s="1">
        <f>AVERAGE(I11,E11)</f>
        <v>2.5925000000000002</v>
      </c>
      <c r="N11" s="1"/>
      <c r="O11" s="1"/>
      <c r="P11" s="1"/>
      <c r="Q11" s="1"/>
    </row>
    <row r="12" spans="1:21" x14ac:dyDescent="0.25">
      <c r="A12">
        <v>2010</v>
      </c>
      <c r="B12" s="1">
        <v>42.41</v>
      </c>
      <c r="C12" s="1">
        <f>AVERAGE(32.7,70.21)</f>
        <v>51.454999999999998</v>
      </c>
      <c r="D12" s="1">
        <v>2.62</v>
      </c>
      <c r="E12" s="1">
        <f>AVERAGE(3.51,1.13)</f>
        <v>2.3199999999999998</v>
      </c>
      <c r="F12" s="1">
        <v>33.450000000000003</v>
      </c>
      <c r="G12" s="1">
        <f>AVERAGE(29.03,63.35)</f>
        <v>46.19</v>
      </c>
      <c r="H12" s="1">
        <v>3.65</v>
      </c>
      <c r="I12" s="1">
        <f>AVERAGE(1.39,3.77)</f>
        <v>2.58</v>
      </c>
      <c r="J12" s="1">
        <f t="shared" si="0"/>
        <v>37.93</v>
      </c>
      <c r="K12" s="1">
        <f t="shared" si="0"/>
        <v>48.822499999999998</v>
      </c>
      <c r="L12" s="1">
        <f t="shared" si="1"/>
        <v>3.1349999999999998</v>
      </c>
      <c r="M12" s="1">
        <f t="shared" si="2"/>
        <v>2.4500000000000002</v>
      </c>
      <c r="N12" s="1"/>
      <c r="O12" s="1"/>
      <c r="P12" s="1"/>
      <c r="Q12" s="1"/>
    </row>
    <row r="13" spans="1:21" x14ac:dyDescent="0.25">
      <c r="A13">
        <v>2011</v>
      </c>
      <c r="B13" s="1">
        <v>42.6</v>
      </c>
      <c r="C13" s="1">
        <f>AVERAGE(35.53,71.39)</f>
        <v>53.46</v>
      </c>
      <c r="D13" s="1">
        <v>2.66</v>
      </c>
      <c r="E13" s="1">
        <f>AVERAGE(3.39,1.09)</f>
        <v>2.2400000000000002</v>
      </c>
      <c r="F13" s="1">
        <v>39.299999999999997</v>
      </c>
      <c r="G13" s="1">
        <f>AVERAGE(33.41,66.26)</f>
        <v>49.835000000000001</v>
      </c>
      <c r="H13" s="1">
        <v>3.47</v>
      </c>
      <c r="I13" s="1">
        <f>AVERAGE(3.65,1.34)</f>
        <v>2.4950000000000001</v>
      </c>
      <c r="J13" s="1">
        <f t="shared" si="0"/>
        <v>40.950000000000003</v>
      </c>
      <c r="K13" s="1">
        <f t="shared" si="0"/>
        <v>51.647500000000001</v>
      </c>
      <c r="L13" s="1">
        <f t="shared" si="1"/>
        <v>3.0650000000000004</v>
      </c>
      <c r="M13" s="1">
        <f t="shared" si="2"/>
        <v>2.3675000000000002</v>
      </c>
      <c r="N13" s="1"/>
      <c r="O13" s="1"/>
      <c r="P13" s="1"/>
      <c r="Q13" s="1"/>
    </row>
    <row r="14" spans="1:21" x14ac:dyDescent="0.25">
      <c r="A14">
        <v>2012</v>
      </c>
      <c r="B14" s="1">
        <v>44.2</v>
      </c>
      <c r="C14" s="1">
        <f>AVERAGE(36.68,71.92)</f>
        <v>54.3</v>
      </c>
      <c r="D14" s="1">
        <v>2.57</v>
      </c>
      <c r="E14" s="1">
        <f>AVERAGE(3.19,1.04)</f>
        <v>2.1150000000000002</v>
      </c>
      <c r="F14" s="1">
        <v>33.14</v>
      </c>
      <c r="G14" s="1">
        <f>AVERAGE(38.88,64.96)</f>
        <v>51.92</v>
      </c>
      <c r="H14" s="1">
        <v>3.72</v>
      </c>
      <c r="I14" s="1">
        <f>AVERAGE(3.09,1.46)</f>
        <v>2.2749999999999999</v>
      </c>
      <c r="J14" s="1">
        <f t="shared" si="0"/>
        <v>38.67</v>
      </c>
      <c r="K14" s="1">
        <f t="shared" si="0"/>
        <v>53.11</v>
      </c>
      <c r="L14" s="1">
        <f t="shared" si="1"/>
        <v>3.145</v>
      </c>
      <c r="M14" s="1">
        <f t="shared" si="2"/>
        <v>2.1950000000000003</v>
      </c>
      <c r="N14" s="1"/>
      <c r="O14" s="1"/>
      <c r="P14" s="1"/>
      <c r="Q14" s="1"/>
    </row>
    <row r="15" spans="1:21" x14ac:dyDescent="0.25">
      <c r="A15">
        <v>2013</v>
      </c>
      <c r="B15" s="1">
        <v>42.5</v>
      </c>
      <c r="C15" s="1">
        <f>AVERAGE(37.5,70.34)</f>
        <v>53.92</v>
      </c>
      <c r="D15" s="1">
        <v>2.5099999999999998</v>
      </c>
      <c r="E15" s="1">
        <f>AVERAGE(3.11,1.12)</f>
        <v>2.1150000000000002</v>
      </c>
      <c r="F15" s="1">
        <v>32.32</v>
      </c>
      <c r="G15" s="1">
        <f>AVERAGE(29.06,63.66)</f>
        <v>46.36</v>
      </c>
      <c r="H15" s="1">
        <v>3.72</v>
      </c>
      <c r="I15" s="1">
        <f>AVERAGE(3.91,1.44)</f>
        <v>2.6749999999999998</v>
      </c>
      <c r="J15" s="1">
        <f t="shared" si="0"/>
        <v>37.409999999999997</v>
      </c>
      <c r="K15" s="1">
        <f t="shared" si="0"/>
        <v>50.14</v>
      </c>
      <c r="L15" s="1">
        <f t="shared" si="1"/>
        <v>3.1150000000000002</v>
      </c>
      <c r="M15" s="1">
        <f t="shared" si="2"/>
        <v>2.395</v>
      </c>
      <c r="N15" s="1"/>
      <c r="O15" s="1"/>
      <c r="P15" s="1"/>
      <c r="Q15" s="1"/>
    </row>
    <row r="16" spans="1:21" x14ac:dyDescent="0.25">
      <c r="A16">
        <v>2014</v>
      </c>
      <c r="B16" s="1">
        <v>45.21</v>
      </c>
      <c r="C16" s="1">
        <f>AVERAGE(35.55,71.29)</f>
        <v>53.42</v>
      </c>
      <c r="D16" s="1">
        <v>2.44</v>
      </c>
      <c r="E16" s="1">
        <f>AVERAGE(3.21,1.11)</f>
        <v>2.16</v>
      </c>
      <c r="F16" s="1">
        <v>34.880000000000003</v>
      </c>
      <c r="G16" s="1">
        <f>AVERAGE(33.64,65.25)</f>
        <v>49.445</v>
      </c>
      <c r="H16" s="1">
        <v>3.44</v>
      </c>
      <c r="I16" s="1">
        <f>AVERAGE(3.68,1.38)</f>
        <v>2.5300000000000002</v>
      </c>
      <c r="J16" s="1">
        <f t="shared" si="0"/>
        <v>40.045000000000002</v>
      </c>
      <c r="K16" s="1">
        <f t="shared" si="0"/>
        <v>51.432500000000005</v>
      </c>
      <c r="L16" s="1">
        <f t="shared" si="1"/>
        <v>2.94</v>
      </c>
      <c r="M16" s="1">
        <f t="shared" si="2"/>
        <v>2.3450000000000002</v>
      </c>
      <c r="N16" s="1"/>
      <c r="O16" s="1"/>
      <c r="P16" s="1"/>
      <c r="Q16" s="1"/>
    </row>
    <row r="17" spans="1:17" x14ac:dyDescent="0.25">
      <c r="A17">
        <v>2015</v>
      </c>
      <c r="B17" s="1">
        <v>43.98</v>
      </c>
      <c r="C17" s="1">
        <f>AVERAGE(32.57,70.09)</f>
        <v>51.33</v>
      </c>
      <c r="D17" s="1">
        <v>2.4500000000000002</v>
      </c>
      <c r="E17" s="1">
        <f>AVERAGE(3.55,1.19)</f>
        <v>2.37</v>
      </c>
      <c r="F17" s="1">
        <v>34.96</v>
      </c>
      <c r="G17" s="1">
        <f>AVERAGE(33.18,68.01)</f>
        <v>50.594999999999999</v>
      </c>
      <c r="H17" s="1">
        <v>3.35</v>
      </c>
      <c r="I17" s="1">
        <f>AVERAGE(3.56,1.3)</f>
        <v>2.4300000000000002</v>
      </c>
      <c r="J17" s="1">
        <f t="shared" si="0"/>
        <v>39.47</v>
      </c>
      <c r="K17" s="1">
        <f t="shared" si="0"/>
        <v>50.962499999999999</v>
      </c>
      <c r="L17" s="1">
        <f t="shared" si="1"/>
        <v>2.9000000000000004</v>
      </c>
      <c r="M17" s="1">
        <f t="shared" si="2"/>
        <v>2.4000000000000004</v>
      </c>
      <c r="N17" s="1"/>
      <c r="O17" s="1"/>
      <c r="P17" s="1"/>
      <c r="Q17" s="1"/>
    </row>
    <row r="18" spans="1:17" x14ac:dyDescent="0.25">
      <c r="A18">
        <v>2016</v>
      </c>
      <c r="B18" s="1">
        <v>44.1</v>
      </c>
      <c r="C18" s="1">
        <f>AVERAGE(34.57,70.74)</f>
        <v>52.655000000000001</v>
      </c>
      <c r="D18" s="1">
        <v>2.5299999999999998</v>
      </c>
      <c r="E18" s="1">
        <f>AVERAGE(3.42,1.15)</f>
        <v>2.2850000000000001</v>
      </c>
      <c r="F18" s="1">
        <v>38.6</v>
      </c>
      <c r="G18" s="1">
        <f>AVERAGE(32.59,68.25)</f>
        <v>50.42</v>
      </c>
      <c r="H18" s="1">
        <v>3.28</v>
      </c>
      <c r="I18" s="1">
        <f>AVERAGE(3.69,1.22)</f>
        <v>2.4550000000000001</v>
      </c>
      <c r="J18" s="1">
        <f t="shared" si="0"/>
        <v>41.35</v>
      </c>
      <c r="K18" s="1">
        <f t="shared" si="0"/>
        <v>51.537500000000001</v>
      </c>
      <c r="L18" s="1">
        <f t="shared" si="1"/>
        <v>2.9049999999999998</v>
      </c>
      <c r="M18" s="1">
        <f t="shared" si="2"/>
        <v>2.37</v>
      </c>
      <c r="N18" s="1"/>
      <c r="O18" s="1"/>
      <c r="P18" s="1"/>
      <c r="Q18" s="1"/>
    </row>
    <row r="23" spans="1:17" ht="15" x14ac:dyDescent="0.25">
      <c r="B23" s="81" t="s">
        <v>23</v>
      </c>
      <c r="C23" s="81"/>
      <c r="D23" s="81"/>
      <c r="E23" s="81"/>
      <c r="F23" s="81"/>
      <c r="G23" s="81"/>
      <c r="H23" s="81"/>
      <c r="I23" s="81"/>
      <c r="J23" s="81"/>
      <c r="K23" s="81"/>
      <c r="L23" s="81"/>
      <c r="M23" s="81"/>
      <c r="N23" s="81"/>
      <c r="O23" s="81"/>
      <c r="P23" s="81"/>
      <c r="Q23" s="81"/>
    </row>
    <row r="24" spans="1:17" x14ac:dyDescent="0.25">
      <c r="B24" s="80" t="s">
        <v>18</v>
      </c>
      <c r="C24" s="80"/>
      <c r="D24" s="80"/>
      <c r="E24" s="80"/>
      <c r="F24" s="80"/>
      <c r="G24" s="80"/>
      <c r="H24" s="80"/>
      <c r="I24" s="80"/>
      <c r="J24" s="80" t="s">
        <v>3</v>
      </c>
      <c r="K24" s="80"/>
      <c r="L24" s="80"/>
      <c r="M24" s="80"/>
      <c r="N24" s="80"/>
      <c r="O24" s="80"/>
      <c r="P24" s="80"/>
      <c r="Q24" s="80"/>
    </row>
    <row r="25" spans="1:17" ht="12.75" customHeight="1" x14ac:dyDescent="0.25">
      <c r="B25" s="80" t="s">
        <v>1</v>
      </c>
      <c r="C25" s="80"/>
      <c r="D25" s="80"/>
      <c r="E25" s="80"/>
      <c r="F25" s="80" t="s">
        <v>2</v>
      </c>
      <c r="G25" s="80"/>
      <c r="H25" s="80"/>
      <c r="I25" s="80"/>
      <c r="J25" s="80" t="s">
        <v>1</v>
      </c>
      <c r="K25" s="80"/>
      <c r="L25" s="80"/>
      <c r="M25" s="80"/>
      <c r="N25" s="80" t="s">
        <v>2</v>
      </c>
      <c r="O25" s="80"/>
      <c r="P25" s="80"/>
      <c r="Q25" s="80"/>
    </row>
    <row r="26" spans="1:17" x14ac:dyDescent="0.25">
      <c r="A26" t="s">
        <v>0</v>
      </c>
      <c r="B26" t="s">
        <v>19</v>
      </c>
      <c r="C26" t="s">
        <v>25</v>
      </c>
      <c r="D26" t="s">
        <v>16</v>
      </c>
      <c r="E26" t="s">
        <v>17</v>
      </c>
      <c r="F26" t="s">
        <v>19</v>
      </c>
      <c r="G26" t="s">
        <v>24</v>
      </c>
      <c r="H26" t="s">
        <v>16</v>
      </c>
      <c r="I26" t="s">
        <v>17</v>
      </c>
      <c r="J26" t="s">
        <v>20</v>
      </c>
      <c r="K26" t="s">
        <v>24</v>
      </c>
      <c r="L26" t="s">
        <v>16</v>
      </c>
      <c r="M26" t="s">
        <v>17</v>
      </c>
      <c r="N26" t="s">
        <v>20</v>
      </c>
      <c r="O26" t="s">
        <v>24</v>
      </c>
      <c r="P26" t="s">
        <v>16</v>
      </c>
      <c r="Q26" t="s">
        <v>17</v>
      </c>
    </row>
    <row r="27" spans="1:17" x14ac:dyDescent="0.25">
      <c r="A27">
        <v>2002</v>
      </c>
      <c r="B27" s="1">
        <v>33.215000000000003</v>
      </c>
      <c r="C27" s="1">
        <f>1.96*(B27/SQRT(Populations!D4))</f>
        <v>0.9017540979542501</v>
      </c>
      <c r="D27" s="1">
        <f>B27-1.96*(B27/SQRT(Populations!D4))</f>
        <v>32.31324590204575</v>
      </c>
      <c r="E27" s="1">
        <f>B27+1.96*(B27/SQRT(Populations!D4))</f>
        <v>34.116754097954257</v>
      </c>
      <c r="F27" s="1">
        <v>50.225000000000001</v>
      </c>
      <c r="G27" s="1">
        <f>1.96*(F27/SQRT(Populations!G4))</f>
        <v>0.7706004274273075</v>
      </c>
      <c r="H27" s="1">
        <f>F27-1.96*(F27/SQRT(Populations!G4))</f>
        <v>49.454399572572697</v>
      </c>
      <c r="I27" s="1">
        <f>F27+1.96*(F27/SQRT(Populations!G4))</f>
        <v>50.995600427427306</v>
      </c>
      <c r="J27" s="1">
        <v>3.5500000000000003</v>
      </c>
      <c r="K27" s="1">
        <f>1.96*(J27/SQRT(Populations!D4))</f>
        <v>9.6378956728513862E-2</v>
      </c>
      <c r="L27" s="1">
        <f>J27-1.96*(J27/SQRT(Populations!D4))</f>
        <v>3.4536210432714864</v>
      </c>
      <c r="M27" s="1">
        <f>J27+1.96*(J27/SQRT(Populations!D4))</f>
        <v>3.6463789567285141</v>
      </c>
      <c r="N27" s="1">
        <v>2.3725000000000001</v>
      </c>
      <c r="O27" s="1">
        <f>1.96*(N27/SQRT(Populations!G4))</f>
        <v>3.6401184949154543E-2</v>
      </c>
      <c r="P27" s="1">
        <f>N27-1.96*(N27/SQRT(Populations!G4))</f>
        <v>2.3360988150508457</v>
      </c>
      <c r="Q27" s="1">
        <f>N27+1.96*(N27/SQRT(Populations!G4))</f>
        <v>2.4089011849491544</v>
      </c>
    </row>
    <row r="28" spans="1:17" x14ac:dyDescent="0.25">
      <c r="A28">
        <v>2003</v>
      </c>
      <c r="B28" s="1">
        <v>33.200000000000003</v>
      </c>
      <c r="C28" s="1">
        <f>1.96*(B28/SQRT(Populations!D5))</f>
        <v>0.61247117579235566</v>
      </c>
      <c r="D28" s="1">
        <f>B28-1.96*(B28/SQRT(Populations!D5))</f>
        <v>32.587528824207645</v>
      </c>
      <c r="E28" s="1">
        <f>B28+1.96*(B28/SQRT(Populations!D5))</f>
        <v>33.812471175792361</v>
      </c>
      <c r="F28" s="1">
        <v>48.454999999999998</v>
      </c>
      <c r="G28" s="1">
        <f>1.96*(F28/SQRT(Populations!G5))</f>
        <v>0.55383027519359151</v>
      </c>
      <c r="H28" s="1">
        <f>F28-1.96*(F28/SQRT(Populations!G5))</f>
        <v>47.901169724806408</v>
      </c>
      <c r="I28" s="1">
        <f>F28+1.96*(F28/SQRT(Populations!G5))</f>
        <v>49.008830275193588</v>
      </c>
      <c r="J28" s="1">
        <v>3.92</v>
      </c>
      <c r="K28" s="1">
        <f>1.96*(J28/SQRT(Populations!D5))</f>
        <v>7.2315873768254033E-2</v>
      </c>
      <c r="L28" s="1">
        <f>J28-1.96*(J28/SQRT(Populations!D5))</f>
        <v>3.847684126231746</v>
      </c>
      <c r="M28" s="1">
        <f>J28+1.96*(J28/SQRT(Populations!D5))</f>
        <v>3.9923158737682538</v>
      </c>
      <c r="N28" s="1">
        <v>2.5625</v>
      </c>
      <c r="O28" s="1">
        <f>1.96*(N28/SQRT(Populations!G5))</f>
        <v>2.9288826337500323E-2</v>
      </c>
      <c r="P28" s="1">
        <f>N28-1.96*(N28/SQRT(Populations!G5))</f>
        <v>2.5332111736624996</v>
      </c>
      <c r="Q28" s="1">
        <f>N28+1.96*(N28/SQRT(Populations!G5))</f>
        <v>2.5917888263375004</v>
      </c>
    </row>
    <row r="29" spans="1:17" x14ac:dyDescent="0.25">
      <c r="A29">
        <v>2004</v>
      </c>
      <c r="B29" s="1">
        <v>31.159999999999997</v>
      </c>
      <c r="C29" s="1">
        <f>1.96*(B29/SQRT(Populations!D6))</f>
        <v>0.66549669315935123</v>
      </c>
      <c r="D29" s="1">
        <f>B29-1.96*(B29/SQRT(Populations!D6))</f>
        <v>30.494503306840645</v>
      </c>
      <c r="E29" s="1">
        <f>B29+1.96*(B29/SQRT(Populations!D6))</f>
        <v>31.825496693159348</v>
      </c>
      <c r="F29" s="1">
        <v>48.727500000000006</v>
      </c>
      <c r="G29" s="1">
        <f>1.96*(F29/SQRT(Populations!G6))</f>
        <v>0.5570680416321323</v>
      </c>
      <c r="H29" s="1">
        <f>F29-1.96*(F29/SQRT(Populations!G6))</f>
        <v>48.170431958367871</v>
      </c>
      <c r="I29" s="1">
        <f>F29+1.96*(F29/SQRT(Populations!G6))</f>
        <v>49.284568041632141</v>
      </c>
      <c r="J29" s="1">
        <v>3.665</v>
      </c>
      <c r="K29" s="1">
        <f>1.96*(J29/SQRT(Populations!D6))</f>
        <v>7.8274883839185586E-2</v>
      </c>
      <c r="L29" s="1">
        <f>J29-1.96*(J29/SQRT(Populations!D6))</f>
        <v>3.5867251161608142</v>
      </c>
      <c r="M29" s="1">
        <f>J29+1.96*(J29/SQRT(Populations!D6))</f>
        <v>3.7432748838391858</v>
      </c>
      <c r="N29" s="1">
        <v>2.4649999999999999</v>
      </c>
      <c r="O29" s="1">
        <f>1.96*(N29/SQRT(Populations!G6))</f>
        <v>2.8180652047061841E-2</v>
      </c>
      <c r="P29" s="1">
        <f>N29-1.96*(N29/SQRT(Populations!G6))</f>
        <v>2.4368193479529379</v>
      </c>
      <c r="Q29" s="1">
        <f>N29+1.96*(N29/SQRT(Populations!G6))</f>
        <v>2.4931806520470619</v>
      </c>
    </row>
    <row r="30" spans="1:17" x14ac:dyDescent="0.25">
      <c r="A30">
        <v>2005</v>
      </c>
      <c r="B30" s="1">
        <v>30.700000000000003</v>
      </c>
      <c r="C30" s="1">
        <f>1.96*(B30/SQRT(Populations!D7))</f>
        <v>0.63486845261975688</v>
      </c>
      <c r="D30" s="1">
        <f>B30-1.96*(B30/SQRT(Populations!D7))</f>
        <v>30.065131547380247</v>
      </c>
      <c r="E30" s="1">
        <f>B30+1.96*(B30/SQRT(Populations!D7))</f>
        <v>31.334868452619759</v>
      </c>
      <c r="F30" s="1">
        <v>40.155000000000001</v>
      </c>
      <c r="G30" s="1">
        <f>1.96*(F30/SQRT(Populations!G7))</f>
        <v>0.47030999596277823</v>
      </c>
      <c r="H30" s="1">
        <f>F30-1.96*(F30/SQRT(Populations!G7))</f>
        <v>39.684690004037222</v>
      </c>
      <c r="I30" s="1">
        <f>F30+1.96*(F30/SQRT(Populations!G7))</f>
        <v>40.62530999596278</v>
      </c>
      <c r="J30" s="1">
        <v>3.7450000000000001</v>
      </c>
      <c r="K30" s="1">
        <f>1.96*(J30/SQRT(Populations!D7))</f>
        <v>7.7445679317947547E-2</v>
      </c>
      <c r="L30" s="1">
        <f>J30-1.96*(J30/SQRT(Populations!D7))</f>
        <v>3.6675543206820524</v>
      </c>
      <c r="M30" s="1">
        <f>J30+1.96*(J30/SQRT(Populations!D7))</f>
        <v>3.8224456793179478</v>
      </c>
      <c r="N30" s="1">
        <v>2.5825</v>
      </c>
      <c r="O30" s="1">
        <f>1.96*(N30/SQRT(Populations!G7))</f>
        <v>3.0247181286860284E-2</v>
      </c>
      <c r="P30" s="1">
        <f>N30-1.96*(N30/SQRT(Populations!G7))</f>
        <v>2.5522528187131397</v>
      </c>
      <c r="Q30" s="1">
        <f>N30+1.96*(N30/SQRT(Populations!G7))</f>
        <v>2.6127471812868603</v>
      </c>
    </row>
    <row r="31" spans="1:17" x14ac:dyDescent="0.25">
      <c r="A31">
        <v>2006</v>
      </c>
      <c r="B31" s="1">
        <v>31.215</v>
      </c>
      <c r="C31" s="1">
        <f>1.96*(B31/SQRT(Populations!D8))</f>
        <v>0.65551918062035042</v>
      </c>
      <c r="D31" s="1">
        <f>B31-1.96*(B31/SQRT(Populations!D8))</f>
        <v>30.559480819379651</v>
      </c>
      <c r="E31" s="1">
        <f>B31+1.96*(B31/SQRT(Populations!D8))</f>
        <v>31.870519180620349</v>
      </c>
      <c r="F31" s="1">
        <v>46.11</v>
      </c>
      <c r="G31" s="1">
        <f>1.96*(F31/SQRT(Populations!G8))</f>
        <v>0.49214664807569941</v>
      </c>
      <c r="H31" s="1">
        <f>F31-1.96*(F31/SQRT(Populations!G8))</f>
        <v>45.617853351924303</v>
      </c>
      <c r="I31" s="1">
        <f>F31+1.96*(F31/SQRT(Populations!G8))</f>
        <v>46.602146648075696</v>
      </c>
      <c r="J31" s="1">
        <v>3.7649999999999997</v>
      </c>
      <c r="K31" s="1">
        <f>1.96*(J31/SQRT(Populations!D8))</f>
        <v>7.9065504245895216E-2</v>
      </c>
      <c r="L31" s="1">
        <f>J31-1.96*(J31/SQRT(Populations!D8))</f>
        <v>3.6859344957541045</v>
      </c>
      <c r="M31" s="1">
        <f>J31+1.96*(J31/SQRT(Populations!D8))</f>
        <v>3.8440655042458949</v>
      </c>
      <c r="N31" s="1">
        <v>2.6825000000000001</v>
      </c>
      <c r="O31" s="1">
        <f>1.96*(N31/SQRT(Populations!G8))</f>
        <v>2.8631172922642893E-2</v>
      </c>
      <c r="P31" s="1">
        <f>N31-1.96*(N31/SQRT(Populations!G8))</f>
        <v>2.6538688270773574</v>
      </c>
      <c r="Q31" s="1">
        <f>N31+1.96*(N31/SQRT(Populations!G8))</f>
        <v>2.7111311729226428</v>
      </c>
    </row>
    <row r="32" spans="1:17" x14ac:dyDescent="0.25">
      <c r="A32">
        <v>2007</v>
      </c>
      <c r="B32" s="1">
        <v>28.98</v>
      </c>
      <c r="C32" s="1">
        <f>1.96*(B32/SQRT(Populations!D9))</f>
        <v>0.64199115405154084</v>
      </c>
      <c r="D32" s="1">
        <f>B32-1.96*(B32/SQRT(Populations!D9))</f>
        <v>28.338008845948458</v>
      </c>
      <c r="E32" s="1">
        <f>B32+1.96*(B32/SQRT(Populations!D9))</f>
        <v>29.621991154051543</v>
      </c>
      <c r="F32" s="1">
        <v>44.6175</v>
      </c>
      <c r="G32" s="1">
        <f>1.96*(F32/SQRT(Populations!G9))</f>
        <v>0.54281368355319759</v>
      </c>
      <c r="H32" s="1">
        <f>F32-1.96*(F32/SQRT(Populations!G9))</f>
        <v>44.074686316446801</v>
      </c>
      <c r="I32" s="1">
        <f>F32+1.96*(F32/SQRT(Populations!G9))</f>
        <v>45.160313683553198</v>
      </c>
      <c r="J32" s="1">
        <v>3.64</v>
      </c>
      <c r="K32" s="1">
        <f>1.96*(J32/SQRT(Populations!D9))</f>
        <v>8.0636570074106587E-2</v>
      </c>
      <c r="L32" s="1">
        <f>J32-1.96*(J32/SQRT(Populations!D9))</f>
        <v>3.5593634299258934</v>
      </c>
      <c r="M32" s="1">
        <f>J32+1.96*(J32/SQRT(Populations!D9))</f>
        <v>3.7206365700741069</v>
      </c>
      <c r="N32" s="1">
        <v>2.9350000000000001</v>
      </c>
      <c r="O32" s="1">
        <f>1.96*(N32/SQRT(Populations!G9))</f>
        <v>3.5707024401381411E-2</v>
      </c>
      <c r="P32" s="1">
        <f>N32-1.96*(N32/SQRT(Populations!G9))</f>
        <v>2.8992929755986188</v>
      </c>
      <c r="Q32" s="1">
        <f>N32+1.96*(N32/SQRT(Populations!G9))</f>
        <v>2.9707070244013813</v>
      </c>
    </row>
    <row r="33" spans="1:17" x14ac:dyDescent="0.25">
      <c r="A33">
        <v>2008</v>
      </c>
      <c r="B33" s="1">
        <v>36.004999999999995</v>
      </c>
      <c r="C33" s="1">
        <f>1.96*(B33/SQRT(Populations!D10))</f>
        <v>0.75563287694428771</v>
      </c>
      <c r="D33" s="1">
        <f>B33-1.96*(B33/SQRT(Populations!D10))</f>
        <v>35.249367123055706</v>
      </c>
      <c r="E33" s="1">
        <f>B33+1.96*(B33/SQRT(Populations!D10))</f>
        <v>36.760632876944285</v>
      </c>
      <c r="F33" s="1">
        <v>48.745000000000005</v>
      </c>
      <c r="G33" s="1">
        <f>1.96*(F33/SQRT(Populations!G10))</f>
        <v>0.54690919771530411</v>
      </c>
      <c r="H33" s="1">
        <f>F33-1.96*(F33/SQRT(Populations!G10))</f>
        <v>48.198090802284703</v>
      </c>
      <c r="I33" s="1">
        <f>F33+1.96*(F33/SQRT(Populations!G10))</f>
        <v>49.291909197715306</v>
      </c>
      <c r="J33" s="1">
        <v>3.5150000000000001</v>
      </c>
      <c r="K33" s="1">
        <f>1.96*(J33/SQRT(Populations!D10))</f>
        <v>7.3768908830972688E-2</v>
      </c>
      <c r="L33" s="1">
        <f>J33-1.96*(J33/SQRT(Populations!D10))</f>
        <v>3.4412310911690276</v>
      </c>
      <c r="M33" s="1">
        <f>J33+1.96*(J33/SQRT(Populations!D10))</f>
        <v>3.5887689088309727</v>
      </c>
      <c r="N33" s="1">
        <v>2.48</v>
      </c>
      <c r="O33" s="1">
        <f>1.96*(N33/SQRT(Populations!G10))</f>
        <v>2.7825106376735131E-2</v>
      </c>
      <c r="P33" s="1">
        <f>N33-1.96*(N33/SQRT(Populations!G10))</f>
        <v>2.452174893623265</v>
      </c>
      <c r="Q33" s="1">
        <f>N33+1.96*(N33/SQRT(Populations!G10))</f>
        <v>2.5078251063767349</v>
      </c>
    </row>
    <row r="34" spans="1:17" x14ac:dyDescent="0.25">
      <c r="A34">
        <v>2009</v>
      </c>
      <c r="B34" s="1">
        <v>34.305</v>
      </c>
      <c r="C34" s="1">
        <f>1.96*(B34/SQRT(Populations!D11))</f>
        <v>0.67349017709654102</v>
      </c>
      <c r="D34" s="1">
        <f>B34-1.96*(B34/SQRT(Populations!D11))</f>
        <v>33.63150982290346</v>
      </c>
      <c r="E34" s="1">
        <f>B34+1.96*(B34/SQRT(Populations!D11))</f>
        <v>34.978490177096539</v>
      </c>
      <c r="F34" s="1">
        <v>47.82</v>
      </c>
      <c r="G34" s="1">
        <f>1.96*(F34/SQRT(Populations!G11))</f>
        <v>0.51088304544228846</v>
      </c>
      <c r="H34" s="1">
        <f>F34-1.96*(F34/SQRT(Populations!G11))</f>
        <v>47.309116954557709</v>
      </c>
      <c r="I34" s="1">
        <f>F34+1.96*(F34/SQRT(Populations!G11))</f>
        <v>48.330883045442292</v>
      </c>
      <c r="J34" s="1">
        <v>3.88</v>
      </c>
      <c r="K34" s="1">
        <f>1.96*(J34/SQRT(Populations!D11))</f>
        <v>7.6173790617536194E-2</v>
      </c>
      <c r="L34" s="1">
        <f>J34-1.96*(J34/SQRT(Populations!D11))</f>
        <v>3.8038262093824637</v>
      </c>
      <c r="M34" s="1">
        <f>J34+1.96*(J34/SQRT(Populations!D11))</f>
        <v>3.956173790617536</v>
      </c>
      <c r="N34" s="1">
        <v>2.5925000000000002</v>
      </c>
      <c r="O34" s="1">
        <f>1.96*(N34/SQRT(Populations!G11))</f>
        <v>2.7696869412570744E-2</v>
      </c>
      <c r="P34" s="1">
        <f>N34-1.96*(N34/SQRT(Populations!G11))</f>
        <v>2.5648031305874297</v>
      </c>
      <c r="Q34" s="1">
        <f>N34+1.96*(N34/SQRT(Populations!G11))</f>
        <v>2.6201968694125708</v>
      </c>
    </row>
    <row r="35" spans="1:17" x14ac:dyDescent="0.25">
      <c r="A35">
        <v>2010</v>
      </c>
      <c r="B35" s="1">
        <v>37.93</v>
      </c>
      <c r="C35" s="1">
        <f>1.96*(B35/SQRT(Populations!D12))</f>
        <v>0.74087637051596977</v>
      </c>
      <c r="D35" s="1">
        <f>B35-1.96*(B35/SQRT(Populations!D12))</f>
        <v>37.18912362948403</v>
      </c>
      <c r="E35" s="1">
        <f>B35+1.96*(B35/SQRT(Populations!D12))</f>
        <v>38.67087637051597</v>
      </c>
      <c r="F35" s="1">
        <v>48.822499999999998</v>
      </c>
      <c r="G35" s="1">
        <f>1.96*(F35/SQRT(Populations!G12))</f>
        <v>0.51382798927327855</v>
      </c>
      <c r="H35" s="1">
        <f>F35-1.96*(F35/SQRT(Populations!G12))</f>
        <v>48.308672010726717</v>
      </c>
      <c r="I35" s="1">
        <f>F35+1.96*(F35/SQRT(Populations!G12))</f>
        <v>49.336327989273279</v>
      </c>
      <c r="J35" s="1">
        <v>3.1349999999999998</v>
      </c>
      <c r="K35" s="1">
        <f>1.96*(J35/SQRT(Populations!D12))</f>
        <v>6.1235102071383211E-2</v>
      </c>
      <c r="L35" s="1">
        <f>J35-1.96*(J35/SQRT(Populations!D12))</f>
        <v>3.0737648979286165</v>
      </c>
      <c r="M35" s="1">
        <f>J35+1.96*(J35/SQRT(Populations!D12))</f>
        <v>3.1962351020713831</v>
      </c>
      <c r="N35" s="1">
        <v>2.4500000000000002</v>
      </c>
      <c r="O35" s="1">
        <f>1.96*(N35/SQRT(Populations!G12))</f>
        <v>2.5784803599150648E-2</v>
      </c>
      <c r="P35" s="1">
        <f>N35-1.96*(N35/SQRT(Populations!G12))</f>
        <v>2.4242151964008496</v>
      </c>
      <c r="Q35" s="1">
        <f>N35+1.96*(N35/SQRT(Populations!G12))</f>
        <v>2.4757848035991508</v>
      </c>
    </row>
    <row r="36" spans="1:17" x14ac:dyDescent="0.25">
      <c r="A36">
        <v>2011</v>
      </c>
      <c r="B36" s="1">
        <v>40.950000000000003</v>
      </c>
      <c r="C36" s="1">
        <f>1.96*(B36/SQRT(Populations!D13))</f>
        <v>0.80792938301061201</v>
      </c>
      <c r="D36" s="1">
        <f>B36-1.96*(B36/SQRT(Populations!D13))</f>
        <v>40.142070616989393</v>
      </c>
      <c r="E36" s="1">
        <f>B36+1.96*(B36/SQRT(Populations!D13))</f>
        <v>41.757929383010612</v>
      </c>
      <c r="F36" s="1">
        <v>51.647500000000001</v>
      </c>
      <c r="G36" s="1">
        <f>1.96*(F36/SQRT(Populations!G13))</f>
        <v>0.56342824241402045</v>
      </c>
      <c r="H36" s="1">
        <f>F36-1.96*(F36/SQRT(Populations!G13))</f>
        <v>51.084071757585981</v>
      </c>
      <c r="I36" s="1">
        <f>F36+1.96*(F36/SQRT(Populations!G13))</f>
        <v>52.21092824241402</v>
      </c>
      <c r="J36" s="1">
        <v>3.0650000000000004</v>
      </c>
      <c r="K36" s="1">
        <f>1.96*(J36/SQRT(Populations!D13))</f>
        <v>6.0471393380403561E-2</v>
      </c>
      <c r="L36" s="1">
        <f>J36-1.96*(J36/SQRT(Populations!D13))</f>
        <v>3.0045286066195969</v>
      </c>
      <c r="M36" s="1">
        <f>J36+1.96*(J36/SQRT(Populations!D13))</f>
        <v>3.1254713933804039</v>
      </c>
      <c r="N36" s="1">
        <v>2.3675000000000002</v>
      </c>
      <c r="O36" s="1">
        <f>1.96*(N36/SQRT(Populations!G13))</f>
        <v>2.5827317177311456E-2</v>
      </c>
      <c r="P36" s="1">
        <f>N36-1.96*(N36/SQRT(Populations!G13))</f>
        <v>2.3416726828226886</v>
      </c>
      <c r="Q36" s="1">
        <f>N36+1.96*(N36/SQRT(Populations!G13))</f>
        <v>2.3933273171773117</v>
      </c>
    </row>
    <row r="37" spans="1:17" x14ac:dyDescent="0.25">
      <c r="A37">
        <v>2012</v>
      </c>
      <c r="B37" s="1">
        <v>38.67</v>
      </c>
      <c r="C37" s="1">
        <f>1.96*(B37/SQRT(Populations!D14))</f>
        <v>0.74804825377162498</v>
      </c>
      <c r="D37" s="1">
        <f>B37-1.96*(B37/SQRT(Populations!D14))</f>
        <v>37.921951746228373</v>
      </c>
      <c r="E37" s="1">
        <f>B37+1.96*(B37/SQRT(Populations!D14))</f>
        <v>39.41804825377163</v>
      </c>
      <c r="F37" s="1">
        <v>53.11</v>
      </c>
      <c r="G37" s="1">
        <f>1.96*(F37/SQRT(Populations!G14))</f>
        <v>0.56843815011069343</v>
      </c>
      <c r="H37" s="1">
        <f>F37-1.96*(F37/SQRT(Populations!G14))</f>
        <v>52.541561849889305</v>
      </c>
      <c r="I37" s="1">
        <f>F37+1.96*(F37/SQRT(Populations!G14))</f>
        <v>53.678438150110694</v>
      </c>
      <c r="J37" s="1">
        <v>3.145</v>
      </c>
      <c r="K37" s="1">
        <f>1.96*(J37/SQRT(Populations!D14))</f>
        <v>6.0838162868160336E-2</v>
      </c>
      <c r="L37" s="1">
        <f>J37-1.96*(J37/SQRT(Populations!D14))</f>
        <v>3.0841618371318398</v>
      </c>
      <c r="M37" s="1">
        <f>J37+1.96*(J37/SQRT(Populations!D14))</f>
        <v>3.2058381628681603</v>
      </c>
      <c r="N37" s="1">
        <v>2.1950000000000003</v>
      </c>
      <c r="O37" s="1">
        <f>1.96*(N37/SQRT(Populations!G14))</f>
        <v>2.3493160223930942E-2</v>
      </c>
      <c r="P37" s="1">
        <f>N37-1.96*(N37/SQRT(Populations!G14))</f>
        <v>2.1715068397760695</v>
      </c>
      <c r="Q37" s="1">
        <f>N37+1.96*(N37/SQRT(Populations!G14))</f>
        <v>2.2184931602239311</v>
      </c>
    </row>
    <row r="38" spans="1:17" x14ac:dyDescent="0.25">
      <c r="A38">
        <v>2013</v>
      </c>
      <c r="B38" s="1">
        <v>37.409999999999997</v>
      </c>
      <c r="C38" s="1">
        <f>1.96*(B38/SQRT(Populations!D15))</f>
        <v>0.69765588192299277</v>
      </c>
      <c r="D38" s="1">
        <f>B38-1.96*(B38/SQRT(Populations!D15))</f>
        <v>36.712344118077006</v>
      </c>
      <c r="E38" s="1">
        <f>B38+1.96*(B38/SQRT(Populations!D15))</f>
        <v>38.107655881922987</v>
      </c>
      <c r="F38" s="1">
        <v>50.14</v>
      </c>
      <c r="G38" s="1">
        <f>1.96*(F38/SQRT(Populations!G15))</f>
        <v>0.5036204261913817</v>
      </c>
      <c r="H38" s="1">
        <f>F38-1.96*(F38/SQRT(Populations!G15))</f>
        <v>49.636379573808618</v>
      </c>
      <c r="I38" s="1">
        <f>F38+1.96*(F38/SQRT(Populations!G15))</f>
        <v>50.643620426191383</v>
      </c>
      <c r="J38" s="1">
        <v>3.1150000000000002</v>
      </c>
      <c r="K38" s="1">
        <f>1.96*(J38/SQRT(Populations!D15))</f>
        <v>5.8091367874635737E-2</v>
      </c>
      <c r="L38" s="1">
        <f>J38-1.96*(J38/SQRT(Populations!D15))</f>
        <v>3.0569086321253645</v>
      </c>
      <c r="M38" s="1">
        <f>J38+1.96*(J38/SQRT(Populations!D15))</f>
        <v>3.173091367874636</v>
      </c>
      <c r="N38" s="1">
        <v>2.395</v>
      </c>
      <c r="O38" s="1">
        <f>1.96*(N38/SQRT(Populations!G15))</f>
        <v>2.4056061442528105E-2</v>
      </c>
      <c r="P38" s="1">
        <f>N38-1.96*(N38/SQRT(Populations!G15))</f>
        <v>2.3709439385574718</v>
      </c>
      <c r="Q38" s="1">
        <f>N38+1.96*(N38/SQRT(Populations!G15))</f>
        <v>2.4190560614425283</v>
      </c>
    </row>
    <row r="39" spans="1:17" x14ac:dyDescent="0.25">
      <c r="A39">
        <v>2014</v>
      </c>
      <c r="B39" s="1">
        <v>40.045000000000002</v>
      </c>
      <c r="C39" s="1">
        <f>1.96*(B39/SQRT(Populations!D16))</f>
        <v>0.78067766185375864</v>
      </c>
      <c r="D39" s="1">
        <f>B39-1.96*(B39/SQRT(Populations!D16))</f>
        <v>39.264322338146243</v>
      </c>
      <c r="E39" s="1">
        <f>B39+1.96*(B39/SQRT(Populations!D16))</f>
        <v>40.82567766185376</v>
      </c>
      <c r="F39" s="1">
        <v>51.432500000000005</v>
      </c>
      <c r="G39" s="1">
        <f>1.96*(F39/SQRT(Populations!G16))</f>
        <v>0.58656732458948813</v>
      </c>
      <c r="H39" s="1">
        <f>F39-1.96*(F39/SQRT(Populations!G16))</f>
        <v>50.845932675410516</v>
      </c>
      <c r="I39" s="1">
        <f>F39+1.96*(F39/SQRT(Populations!G16))</f>
        <v>52.019067324589493</v>
      </c>
      <c r="J39" s="1">
        <v>2.94</v>
      </c>
      <c r="K39" s="1">
        <f>1.96*(J39/SQRT(Populations!D16))</f>
        <v>5.7315328401799231E-2</v>
      </c>
      <c r="L39" s="1">
        <f>J39-1.96*(J39/SQRT(Populations!D16))</f>
        <v>2.8826846715982009</v>
      </c>
      <c r="M39" s="1">
        <f>J39+1.96*(J39/SQRT(Populations!D16))</f>
        <v>2.997315328401799</v>
      </c>
      <c r="N39" s="1">
        <v>2.3450000000000002</v>
      </c>
      <c r="O39" s="1">
        <f>1.96*(N39/SQRT(Populations!G16))</f>
        <v>2.6743797718608849E-2</v>
      </c>
      <c r="P39" s="1">
        <f>N39-1.96*(N39/SQRT(Populations!G16))</f>
        <v>2.3182562022813915</v>
      </c>
      <c r="Q39" s="1">
        <f>N39+1.96*(N39/SQRT(Populations!G16))</f>
        <v>2.3717437977186089</v>
      </c>
    </row>
    <row r="40" spans="1:17" x14ac:dyDescent="0.25">
      <c r="A40">
        <v>2015</v>
      </c>
      <c r="B40" s="1">
        <v>39.47</v>
      </c>
      <c r="C40" s="1">
        <f>1.96*(B40/SQRT(Populations!D17))</f>
        <v>0.78043154970156781</v>
      </c>
      <c r="D40" s="1">
        <f>B40-1.96*(B40/SQRT(Populations!D17))</f>
        <v>38.689568450298431</v>
      </c>
      <c r="E40" s="1">
        <f>B40+1.96*(B40/SQRT(Populations!D17))</f>
        <v>40.250431549701567</v>
      </c>
      <c r="F40" s="1">
        <v>50.962499999999999</v>
      </c>
      <c r="G40" s="1">
        <f>1.96*(F40/SQRT(Populations!G17))</f>
        <v>0.52475990162801689</v>
      </c>
      <c r="H40" s="1">
        <f>F40-1.96*(F40/SQRT(Populations!G17))</f>
        <v>50.437740098371982</v>
      </c>
      <c r="I40" s="1">
        <f>F40+1.96*(F40/SQRT(Populations!G17))</f>
        <v>51.487259901628015</v>
      </c>
      <c r="J40" s="1">
        <v>2.9000000000000004</v>
      </c>
      <c r="K40" s="1">
        <f>1.96*(J40/SQRT(Populations!D17))</f>
        <v>5.7341056350001196E-2</v>
      </c>
      <c r="L40" s="1">
        <f>J40-1.96*(J40/SQRT(Populations!D17))</f>
        <v>2.8426589436499992</v>
      </c>
      <c r="M40" s="1">
        <f>J40+1.96*(J40/SQRT(Populations!D17))</f>
        <v>2.9573410563500016</v>
      </c>
      <c r="N40" s="1">
        <v>2.4000000000000004</v>
      </c>
      <c r="O40" s="1">
        <f>1.96*(N40/SQRT(Populations!G17))</f>
        <v>2.4712754749222288E-2</v>
      </c>
      <c r="P40" s="1">
        <f>N40-1.96*(N40/SQRT(Populations!G17))</f>
        <v>2.3752872452507781</v>
      </c>
      <c r="Q40" s="1">
        <f>N40+1.96*(N40/SQRT(Populations!G17))</f>
        <v>2.4247127547492227</v>
      </c>
    </row>
    <row r="41" spans="1:17" x14ac:dyDescent="0.25">
      <c r="A41">
        <v>2016</v>
      </c>
      <c r="B41" s="1">
        <v>41.35</v>
      </c>
      <c r="C41" s="1">
        <f>1.96*(B41/SQRT(Populations!D18))</f>
        <v>0.78456517207343912</v>
      </c>
      <c r="D41" s="1">
        <f>B41-1.96*(B41/SQRT(Populations!D18))</f>
        <v>40.565434827926559</v>
      </c>
      <c r="E41" s="1">
        <f>B41+1.96*(B41/SQRT(Populations!D18))</f>
        <v>42.134565172073444</v>
      </c>
      <c r="F41" s="1">
        <v>51.537500000000001</v>
      </c>
      <c r="G41" s="1">
        <f>1.96*(F41/SQRT(Populations!G18))</f>
        <v>0.5348673996178589</v>
      </c>
      <c r="H41" s="1">
        <f>F41-1.96*(F41/SQRT(Populations!G18))</f>
        <v>51.002632600382142</v>
      </c>
      <c r="I41" s="1">
        <f>F41+1.96*(F41/SQRT(Populations!G18))</f>
        <v>52.07236739961786</v>
      </c>
      <c r="J41" s="1">
        <v>2.9049999999999998</v>
      </c>
      <c r="K41" s="1">
        <f>1.96*(J41/SQRT(Populations!D18))</f>
        <v>5.5118786574929635E-2</v>
      </c>
      <c r="L41" s="1">
        <f>J41-1.96*(J41/SQRT(Populations!D18))</f>
        <v>2.8498812134250704</v>
      </c>
      <c r="M41" s="1">
        <f>J41+1.96*(J41/SQRT(Populations!D18))</f>
        <v>2.9601187865749292</v>
      </c>
      <c r="N41" s="1">
        <v>2.37</v>
      </c>
      <c r="O41" s="1">
        <f>1.96*(N41/SQRT(Populations!G18))</f>
        <v>2.459637617452002E-2</v>
      </c>
      <c r="P41" s="1">
        <f>N41-1.96*(N41/SQRT(Populations!G18))</f>
        <v>2.3454036238254803</v>
      </c>
      <c r="Q41" s="1">
        <f>N41+1.96*(N41/SQRT(Populations!G18))</f>
        <v>2.3945963761745199</v>
      </c>
    </row>
  </sheetData>
  <mergeCells count="19">
    <mergeCell ref="J24:Q24"/>
    <mergeCell ref="J25:M25"/>
    <mergeCell ref="N25:Q25"/>
    <mergeCell ref="F25:I25"/>
    <mergeCell ref="B24:I24"/>
    <mergeCell ref="B25:E25"/>
    <mergeCell ref="B23:Q23"/>
    <mergeCell ref="N1:U1"/>
    <mergeCell ref="N2:O2"/>
    <mergeCell ref="P2:U2"/>
    <mergeCell ref="H2:I2"/>
    <mergeCell ref="J1:M1"/>
    <mergeCell ref="J2:K2"/>
    <mergeCell ref="L2:M2"/>
    <mergeCell ref="B1:E1"/>
    <mergeCell ref="B2:C2"/>
    <mergeCell ref="D2:E2"/>
    <mergeCell ref="F2:G2"/>
    <mergeCell ref="F1:I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8"/>
  <sheetViews>
    <sheetView workbookViewId="0">
      <selection activeCell="L24" sqref="L24"/>
    </sheetView>
  </sheetViews>
  <sheetFormatPr defaultRowHeight="13.2" x14ac:dyDescent="0.25"/>
  <cols>
    <col min="11" max="11" width="10" bestFit="1" customWidth="1"/>
  </cols>
  <sheetData>
    <row r="1" spans="1:13" x14ac:dyDescent="0.25">
      <c r="B1" s="80" t="s">
        <v>15</v>
      </c>
      <c r="C1" s="80"/>
      <c r="D1" s="80"/>
      <c r="E1" s="80"/>
      <c r="F1" s="80"/>
      <c r="G1" s="80"/>
      <c r="H1" s="80" t="s">
        <v>7</v>
      </c>
      <c r="I1" s="80"/>
      <c r="J1" s="80"/>
      <c r="K1" s="80"/>
      <c r="L1" s="80"/>
      <c r="M1" s="80"/>
    </row>
    <row r="2" spans="1:13" x14ac:dyDescent="0.25">
      <c r="B2" s="80" t="s">
        <v>14</v>
      </c>
      <c r="C2" s="80"/>
      <c r="D2" s="80"/>
      <c r="E2" s="80" t="s">
        <v>33</v>
      </c>
      <c r="F2" s="80"/>
      <c r="G2" s="80"/>
      <c r="H2" s="80" t="s">
        <v>14</v>
      </c>
      <c r="I2" s="80"/>
      <c r="J2" s="80"/>
      <c r="K2" s="80" t="s">
        <v>33</v>
      </c>
      <c r="L2" s="80"/>
      <c r="M2" s="80"/>
    </row>
    <row r="3" spans="1:13" x14ac:dyDescent="0.25">
      <c r="A3" t="s">
        <v>0</v>
      </c>
      <c r="B3" t="s">
        <v>35</v>
      </c>
      <c r="C3" t="s">
        <v>34</v>
      </c>
      <c r="D3" t="s">
        <v>5</v>
      </c>
      <c r="E3" t="s">
        <v>35</v>
      </c>
      <c r="F3" t="s">
        <v>34</v>
      </c>
      <c r="G3" t="s">
        <v>5</v>
      </c>
      <c r="H3" t="s">
        <v>35</v>
      </c>
      <c r="I3" t="s">
        <v>34</v>
      </c>
      <c r="J3" t="s">
        <v>5</v>
      </c>
      <c r="K3" t="s">
        <v>35</v>
      </c>
      <c r="L3" t="s">
        <v>34</v>
      </c>
      <c r="M3" t="s">
        <v>5</v>
      </c>
    </row>
    <row r="4" spans="1:13" x14ac:dyDescent="0.25">
      <c r="A4" s="3">
        <v>2002</v>
      </c>
      <c r="B4" s="3">
        <v>2251</v>
      </c>
      <c r="C4" s="3">
        <v>2961</v>
      </c>
      <c r="D4" s="3">
        <f>SUM(B4:C4)</f>
        <v>5212</v>
      </c>
      <c r="E4">
        <f>9103+1493</f>
        <v>10596</v>
      </c>
      <c r="F4">
        <f>10846+269</f>
        <v>11115</v>
      </c>
      <c r="G4" s="3">
        <f>SUM(K4:L4)</f>
        <v>16319</v>
      </c>
      <c r="H4" s="3">
        <v>2780</v>
      </c>
      <c r="I4" s="3">
        <v>3957</v>
      </c>
      <c r="J4" s="3">
        <f>SUM(H4:I4)</f>
        <v>6737</v>
      </c>
      <c r="K4" s="3">
        <f>12252-B4</f>
        <v>10001</v>
      </c>
      <c r="L4" s="3">
        <f>9279-C4</f>
        <v>6318</v>
      </c>
      <c r="M4" s="3">
        <f>SUM(K4:L4)</f>
        <v>16319</v>
      </c>
    </row>
    <row r="5" spans="1:13" x14ac:dyDescent="0.25">
      <c r="A5" s="3">
        <v>2003</v>
      </c>
      <c r="B5" s="3">
        <v>7886</v>
      </c>
      <c r="C5" s="3">
        <v>3402</v>
      </c>
      <c r="D5" s="3">
        <f t="shared" ref="D5:D14" si="0">SUM(B5:C5)</f>
        <v>11288</v>
      </c>
      <c r="E5" s="3">
        <f>14301+269</f>
        <v>14570</v>
      </c>
      <c r="F5" s="3">
        <f>1787+13049</f>
        <v>14836</v>
      </c>
      <c r="G5" s="3">
        <f t="shared" ref="G5:G14" si="1">SUM(E5:F5)</f>
        <v>29406</v>
      </c>
      <c r="H5" s="3">
        <v>531</v>
      </c>
      <c r="I5" s="3">
        <v>2949</v>
      </c>
      <c r="J5" s="3">
        <f t="shared" ref="J5:J14" si="2">SUM(H5:I5)</f>
        <v>3480</v>
      </c>
      <c r="K5" s="3">
        <f>2949+19089</f>
        <v>22038</v>
      </c>
      <c r="L5" s="3">
        <f>358+18540</f>
        <v>18898</v>
      </c>
      <c r="M5" s="3">
        <f t="shared" ref="M5:M14" si="3">SUM(K5:L5)</f>
        <v>40936</v>
      </c>
    </row>
    <row r="6" spans="1:13" x14ac:dyDescent="0.25">
      <c r="A6" s="3">
        <v>2004</v>
      </c>
      <c r="B6" s="3">
        <v>3895</v>
      </c>
      <c r="C6" s="3">
        <v>4527</v>
      </c>
      <c r="D6" s="3">
        <f t="shared" si="0"/>
        <v>8422</v>
      </c>
      <c r="E6" s="3">
        <f>13239+1610</f>
        <v>14849</v>
      </c>
      <c r="F6" s="3">
        <f>409+14135</f>
        <v>14544</v>
      </c>
      <c r="G6" s="3">
        <f t="shared" si="1"/>
        <v>29393</v>
      </c>
      <c r="H6" s="3">
        <v>4121</v>
      </c>
      <c r="I6" s="3">
        <v>5385</v>
      </c>
      <c r="J6" s="3">
        <f t="shared" si="2"/>
        <v>9506</v>
      </c>
      <c r="K6" s="3">
        <f>2710+18208</f>
        <v>20918</v>
      </c>
      <c r="L6" s="3">
        <f>459+18399</f>
        <v>18858</v>
      </c>
      <c r="M6" s="3">
        <f t="shared" si="3"/>
        <v>39776</v>
      </c>
    </row>
    <row r="7" spans="1:13" x14ac:dyDescent="0.25">
      <c r="A7" s="3">
        <v>2005</v>
      </c>
      <c r="B7" s="3">
        <v>4151</v>
      </c>
      <c r="C7" s="3">
        <v>4832</v>
      </c>
      <c r="D7" s="3">
        <f t="shared" si="0"/>
        <v>8983</v>
      </c>
      <c r="E7" s="3">
        <f>2.188+13514</f>
        <v>13516.188</v>
      </c>
      <c r="F7" s="3">
        <f>397+14091</f>
        <v>14488</v>
      </c>
      <c r="G7" s="3">
        <f t="shared" si="1"/>
        <v>28004.188000000002</v>
      </c>
      <c r="H7" s="3">
        <v>4534</v>
      </c>
      <c r="I7" s="3">
        <v>4173</v>
      </c>
      <c r="J7" s="3">
        <f t="shared" si="2"/>
        <v>8707</v>
      </c>
      <c r="K7" s="3">
        <f>2886+17797</f>
        <v>20683</v>
      </c>
      <c r="L7" s="3">
        <f>381+17940</f>
        <v>18321</v>
      </c>
      <c r="M7" s="3">
        <f t="shared" si="3"/>
        <v>39004</v>
      </c>
    </row>
    <row r="8" spans="1:13" x14ac:dyDescent="0.25">
      <c r="A8" s="3">
        <v>2006</v>
      </c>
      <c r="B8" s="3">
        <f>1538+1406+1128+232</f>
        <v>4304</v>
      </c>
      <c r="C8" s="3">
        <f>874+1653+1116+764</f>
        <v>4407</v>
      </c>
      <c r="D8" s="3">
        <f t="shared" si="0"/>
        <v>8711</v>
      </c>
      <c r="E8" s="3">
        <f>2459+13198</f>
        <v>15657</v>
      </c>
      <c r="F8" s="3">
        <f>403+17662</f>
        <v>18065</v>
      </c>
      <c r="G8" s="3">
        <f t="shared" si="1"/>
        <v>33722</v>
      </c>
      <c r="H8" s="3">
        <v>4223</v>
      </c>
      <c r="I8" s="3">
        <v>4106</v>
      </c>
      <c r="J8" s="3">
        <f t="shared" si="2"/>
        <v>8329</v>
      </c>
      <c r="K8" s="3">
        <f>3169+17978</f>
        <v>21147</v>
      </c>
      <c r="L8" s="3">
        <f>421+17841</f>
        <v>18262</v>
      </c>
      <c r="M8" s="3">
        <f t="shared" si="3"/>
        <v>39409</v>
      </c>
    </row>
    <row r="9" spans="1:13" x14ac:dyDescent="0.25">
      <c r="A9" s="3">
        <v>2007</v>
      </c>
      <c r="B9" s="3">
        <f>7828-4114</f>
        <v>3714</v>
      </c>
      <c r="C9" s="3">
        <v>4114</v>
      </c>
      <c r="D9" s="3">
        <f t="shared" si="0"/>
        <v>7828</v>
      </c>
      <c r="E9" s="3">
        <f>10414+1820</f>
        <v>12234</v>
      </c>
      <c r="F9" s="3">
        <f>455+13266</f>
        <v>13721</v>
      </c>
      <c r="G9" s="3">
        <f t="shared" si="1"/>
        <v>25955</v>
      </c>
      <c r="H9" s="3">
        <v>4253</v>
      </c>
      <c r="I9" s="3">
        <v>5011</v>
      </c>
      <c r="J9" s="3">
        <f t="shared" si="2"/>
        <v>9264</v>
      </c>
      <c r="K9" s="3">
        <f>2760+16643</f>
        <v>19403</v>
      </c>
      <c r="L9" s="3">
        <f>17445+479</f>
        <v>17924</v>
      </c>
      <c r="M9" s="3">
        <f t="shared" si="3"/>
        <v>37327</v>
      </c>
    </row>
    <row r="10" spans="1:13" x14ac:dyDescent="0.25">
      <c r="A10" s="3">
        <v>2008</v>
      </c>
      <c r="B10" s="3">
        <v>4521</v>
      </c>
      <c r="C10" s="3">
        <v>4201</v>
      </c>
      <c r="D10" s="3">
        <f t="shared" si="0"/>
        <v>8722</v>
      </c>
      <c r="E10" s="3">
        <f>2911+14096</f>
        <v>17007</v>
      </c>
      <c r="F10" s="3">
        <f>489+13021</f>
        <v>13510</v>
      </c>
      <c r="G10" s="3">
        <f t="shared" si="1"/>
        <v>30517</v>
      </c>
      <c r="H10" s="3">
        <v>4728</v>
      </c>
      <c r="I10" s="3">
        <v>4792</v>
      </c>
      <c r="J10" s="3">
        <f t="shared" si="2"/>
        <v>9520</v>
      </c>
      <c r="K10" s="3">
        <f>3261+17101</f>
        <v>20362</v>
      </c>
      <c r="L10" s="3">
        <f>16671+480</f>
        <v>17151</v>
      </c>
      <c r="M10" s="3">
        <f t="shared" si="3"/>
        <v>37513</v>
      </c>
    </row>
    <row r="11" spans="1:13" x14ac:dyDescent="0.25">
      <c r="A11" s="3">
        <v>2009</v>
      </c>
      <c r="B11" s="3">
        <v>5233</v>
      </c>
      <c r="C11" s="3">
        <v>4734</v>
      </c>
      <c r="D11" s="3">
        <f t="shared" si="0"/>
        <v>9967</v>
      </c>
      <c r="E11" s="3">
        <f>3434+15942</f>
        <v>19376</v>
      </c>
      <c r="F11" s="3">
        <f>510+13772</f>
        <v>14282</v>
      </c>
      <c r="G11" s="3">
        <f t="shared" si="1"/>
        <v>33658</v>
      </c>
      <c r="H11" s="3">
        <v>4659</v>
      </c>
      <c r="I11" s="3">
        <v>4543</v>
      </c>
      <c r="J11" s="3">
        <f t="shared" si="2"/>
        <v>9202</v>
      </c>
      <c r="K11" s="3">
        <f>3900+17512</f>
        <v>21412</v>
      </c>
      <c r="L11" s="3">
        <f>389+15217</f>
        <v>15606</v>
      </c>
      <c r="M11" s="3">
        <f t="shared" si="3"/>
        <v>37018</v>
      </c>
    </row>
    <row r="12" spans="1:13" x14ac:dyDescent="0.25">
      <c r="A12" s="3">
        <v>2010</v>
      </c>
      <c r="B12" s="3">
        <v>5405</v>
      </c>
      <c r="C12" s="3">
        <v>4664</v>
      </c>
      <c r="D12" s="3">
        <f t="shared" si="0"/>
        <v>10069</v>
      </c>
      <c r="E12" s="3">
        <f>3878+16117</f>
        <v>19995</v>
      </c>
      <c r="F12" s="3">
        <f>540+14148</f>
        <v>14688</v>
      </c>
      <c r="G12" s="3">
        <f t="shared" si="1"/>
        <v>34683</v>
      </c>
      <c r="H12" s="3">
        <v>4956</v>
      </c>
      <c r="I12" s="3">
        <v>4537</v>
      </c>
      <c r="J12" s="3">
        <f t="shared" si="2"/>
        <v>9493</v>
      </c>
      <c r="K12" s="3">
        <f>3992+18957</f>
        <v>22949</v>
      </c>
      <c r="L12" s="3">
        <f>439+13859</f>
        <v>14298</v>
      </c>
      <c r="M12" s="3">
        <f t="shared" si="3"/>
        <v>37247</v>
      </c>
    </row>
    <row r="13" spans="1:13" x14ac:dyDescent="0.25">
      <c r="A13" s="3">
        <v>2011</v>
      </c>
      <c r="B13" s="3">
        <v>5472</v>
      </c>
      <c r="C13" s="3">
        <v>4397</v>
      </c>
      <c r="D13" s="3">
        <f t="shared" si="0"/>
        <v>9869</v>
      </c>
      <c r="E13" s="3">
        <f>1380+16493</f>
        <v>17873</v>
      </c>
      <c r="F13" s="3">
        <f>443+13964</f>
        <v>14407</v>
      </c>
      <c r="G13" s="3">
        <f t="shared" si="1"/>
        <v>32280</v>
      </c>
      <c r="H13" s="3">
        <v>4677</v>
      </c>
      <c r="I13" s="3">
        <v>4197</v>
      </c>
      <c r="J13" s="3">
        <f t="shared" si="2"/>
        <v>8874</v>
      </c>
      <c r="K13" s="3">
        <f>3652+17229</f>
        <v>20881</v>
      </c>
      <c r="L13" s="3">
        <f>430+14474</f>
        <v>14904</v>
      </c>
      <c r="M13" s="3">
        <f t="shared" si="3"/>
        <v>35785</v>
      </c>
    </row>
    <row r="14" spans="1:13" x14ac:dyDescent="0.25">
      <c r="A14" s="3">
        <v>2012</v>
      </c>
      <c r="B14" s="3">
        <v>5278</v>
      </c>
      <c r="C14" s="3">
        <v>4988</v>
      </c>
      <c r="D14" s="3">
        <f t="shared" si="0"/>
        <v>10266</v>
      </c>
      <c r="E14" s="3">
        <f>3809+14577</f>
        <v>18386</v>
      </c>
      <c r="F14" s="3">
        <f>14704+445</f>
        <v>15149</v>
      </c>
      <c r="G14" s="3">
        <f t="shared" si="1"/>
        <v>33535</v>
      </c>
      <c r="H14" s="3">
        <v>4638</v>
      </c>
      <c r="I14" s="3">
        <v>4703</v>
      </c>
      <c r="J14" s="3">
        <f t="shared" si="2"/>
        <v>9341</v>
      </c>
      <c r="K14" s="3">
        <f>3631+15911</f>
        <v>19542</v>
      </c>
      <c r="L14" s="3">
        <f>496+15345</f>
        <v>15841</v>
      </c>
      <c r="M14" s="3">
        <f t="shared" si="3"/>
        <v>35383</v>
      </c>
    </row>
    <row r="15" spans="1:13" x14ac:dyDescent="0.25">
      <c r="A15" s="3">
        <v>2013</v>
      </c>
      <c r="B15" s="3">
        <v>5480</v>
      </c>
      <c r="C15" s="3">
        <v>5566</v>
      </c>
      <c r="D15" s="3">
        <f t="shared" ref="D15:D18" si="4">SUM(B15:C15)</f>
        <v>11046</v>
      </c>
      <c r="E15" s="3">
        <f>3891+16449</f>
        <v>20340</v>
      </c>
      <c r="F15" s="3">
        <f>647+17091</f>
        <v>17738</v>
      </c>
      <c r="G15" s="3">
        <f t="shared" ref="G15:G18" si="5">SUM(E15:F15)</f>
        <v>38078</v>
      </c>
      <c r="H15" s="3">
        <v>4845</v>
      </c>
      <c r="I15" s="3">
        <v>5199</v>
      </c>
      <c r="J15" s="3">
        <f t="shared" ref="J15:J18" si="6">SUM(H15:I15)</f>
        <v>10044</v>
      </c>
      <c r="K15" s="3">
        <f>3596+16733</f>
        <v>20329</v>
      </c>
      <c r="L15" s="3">
        <f>574+16241</f>
        <v>16815</v>
      </c>
      <c r="M15" s="3">
        <f t="shared" ref="M15:M18" si="7">SUM(K15:L15)</f>
        <v>37144</v>
      </c>
    </row>
    <row r="16" spans="1:13" x14ac:dyDescent="0.25">
      <c r="A16" s="3">
        <v>2014</v>
      </c>
      <c r="B16" s="3">
        <v>4990</v>
      </c>
      <c r="C16" s="3">
        <v>5118</v>
      </c>
      <c r="D16" s="3">
        <f t="shared" si="4"/>
        <v>10108</v>
      </c>
      <c r="E16" s="3">
        <f>3719+15669</f>
        <v>19388</v>
      </c>
      <c r="F16" s="3">
        <f>538+9610</f>
        <v>10148</v>
      </c>
      <c r="G16" s="3">
        <f t="shared" si="5"/>
        <v>29536</v>
      </c>
      <c r="H16" s="3">
        <v>4506</v>
      </c>
      <c r="I16" s="3">
        <v>4296</v>
      </c>
      <c r="J16" s="3">
        <f t="shared" si="6"/>
        <v>8802</v>
      </c>
      <c r="K16" s="3">
        <f>3467+16663</f>
        <v>20130</v>
      </c>
      <c r="L16" s="3">
        <f>453+14267</f>
        <v>14720</v>
      </c>
      <c r="M16" s="3">
        <f t="shared" si="7"/>
        <v>34850</v>
      </c>
    </row>
    <row r="17" spans="1:13" x14ac:dyDescent="0.25">
      <c r="A17" s="3">
        <v>2015</v>
      </c>
      <c r="B17" s="3">
        <v>4798</v>
      </c>
      <c r="C17" s="3">
        <v>5028</v>
      </c>
      <c r="D17" s="3">
        <f t="shared" si="4"/>
        <v>9826</v>
      </c>
      <c r="E17" s="3">
        <f>3341+16452</f>
        <v>19793</v>
      </c>
      <c r="F17" s="3">
        <f>666+15773</f>
        <v>16439</v>
      </c>
      <c r="G17" s="3">
        <f t="shared" si="5"/>
        <v>36232</v>
      </c>
      <c r="H17" s="3">
        <v>5178</v>
      </c>
      <c r="I17" s="3">
        <v>5852</v>
      </c>
      <c r="J17" s="3">
        <f t="shared" si="6"/>
        <v>11030</v>
      </c>
      <c r="K17" s="3">
        <f>3761+18243</f>
        <v>22004</v>
      </c>
      <c r="L17" s="3">
        <f>422+14302</f>
        <v>14724</v>
      </c>
      <c r="M17" s="3">
        <f t="shared" si="7"/>
        <v>36728</v>
      </c>
    </row>
    <row r="18" spans="1:13" x14ac:dyDescent="0.25">
      <c r="A18" s="3">
        <v>2016</v>
      </c>
      <c r="B18" s="3">
        <v>5104</v>
      </c>
      <c r="C18" s="3">
        <v>5567</v>
      </c>
      <c r="D18" s="3">
        <f t="shared" si="4"/>
        <v>10671</v>
      </c>
      <c r="E18" s="3">
        <f>3682+15761</f>
        <v>19443</v>
      </c>
      <c r="F18" s="3">
        <f>675+15549</f>
        <v>16224</v>
      </c>
      <c r="G18" s="3">
        <f t="shared" si="5"/>
        <v>35667</v>
      </c>
      <c r="H18" s="3">
        <v>4908</v>
      </c>
      <c r="I18" s="3">
        <v>4909</v>
      </c>
      <c r="J18" s="3">
        <f t="shared" si="6"/>
        <v>9817</v>
      </c>
      <c r="K18" s="3">
        <f>3649+17650</f>
        <v>21299</v>
      </c>
      <c r="L18" s="3">
        <f>601+15610</f>
        <v>16211</v>
      </c>
      <c r="M18" s="3">
        <f t="shared" si="7"/>
        <v>37510</v>
      </c>
    </row>
  </sheetData>
  <mergeCells count="6">
    <mergeCell ref="B2:D2"/>
    <mergeCell ref="E2:G2"/>
    <mergeCell ref="B1:G1"/>
    <mergeCell ref="H2:J2"/>
    <mergeCell ref="K2:M2"/>
    <mergeCell ref="H1:M1"/>
  </mergeCells>
  <pageMargins left="0.7" right="0.7" top="0.75" bottom="0.75" header="0.3" footer="0.3"/>
  <pageSetup paperSize="9" orientation="portrait" r:id="rId1"/>
  <ignoredErrors>
    <ignoredError sqref="D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vt:lpstr>
      <vt:lpstr>Māori vs Non-Māori</vt:lpstr>
      <vt:lpstr>Flouridated and non Flouridated</vt:lpstr>
      <vt:lpstr>ref</vt:lpstr>
      <vt:lpstr>Year 8s</vt:lpstr>
      <vt:lpstr>5yrs Old</vt:lpstr>
      <vt:lpstr>Populations</vt:lpstr>
    </vt:vector>
  </TitlesOfParts>
  <Company>Ministry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Kirk Paterson</dc:creator>
  <cp:lastModifiedBy>Li-Chia Yeh</cp:lastModifiedBy>
  <dcterms:created xsi:type="dcterms:W3CDTF">2018-12-02T20:51:37Z</dcterms:created>
  <dcterms:modified xsi:type="dcterms:W3CDTF">2019-08-07T04:18:01Z</dcterms:modified>
</cp:coreProperties>
</file>